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ormagroup-my.sharepoint.com/personal/ed_haq_normagroup_com/Documents/Desktop/Temporary/"/>
    </mc:Choice>
  </mc:AlternateContent>
  <xr:revisionPtr revIDLastSave="0" documentId="8_{64E25E06-5022-4B6D-84F2-9097AB7DD46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tormChamber System Calculator" sheetId="1" r:id="rId1"/>
    <sheet name="Hidden list" sheetId="2" state="veryHidden" r:id="rId2"/>
  </sheets>
  <definedNames>
    <definedName name="AllChambers">'Hidden list'!$A$4:$A$6</definedName>
    <definedName name="AllSC">'Hidden list'!$A$4:$A$7</definedName>
    <definedName name="Chambers">'Hidden list'!$A$4:$A$5</definedName>
    <definedName name="Constraint">'Hidden list'!$A$15:$A$16</definedName>
    <definedName name="NY">'Hidden list'!$A$12:$A$13</definedName>
    <definedName name="SCalt">'Hidden list'!$B$4:$B$6</definedName>
    <definedName name="UnitSystem">'Hidden list'!$A$1:$A$2</definedName>
    <definedName name="YN">'Hidden list'!$A$9:$A$10</definedName>
  </definedNames>
  <calcPr calcId="191029"/>
  <customWorkbookViews>
    <customWorkbookView name="Maria Lehner - Personal View" guid="{E7B63CCF-7FBC-401C-9C4B-EF755A7DC399}" mergeInterval="0" personalView="1" maximized="1" xWindow="1" yWindow="1" windowWidth="1440" windowHeight="67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5" i="1" l="1"/>
  <c r="Y17" i="1"/>
  <c r="AY103" i="1" l="1"/>
  <c r="AY93" i="1"/>
  <c r="AY81" i="1"/>
  <c r="AY67" i="1"/>
  <c r="BD103" i="1"/>
  <c r="BD93" i="1"/>
  <c r="BD81" i="1"/>
  <c r="BD67" i="1"/>
  <c r="AZ7" i="1"/>
  <c r="AZ5" i="1"/>
  <c r="BS2" i="1" l="1"/>
  <c r="B27" i="1" l="1"/>
  <c r="B31" i="1"/>
  <c r="B75" i="1" l="1"/>
  <c r="O39" i="1"/>
  <c r="BD79" i="1" l="1"/>
  <c r="BD65" i="1"/>
  <c r="BD92" i="1"/>
  <c r="BD102" i="1"/>
  <c r="AY102" i="1"/>
  <c r="AY101" i="1"/>
  <c r="AY92" i="1"/>
  <c r="BD91" i="1"/>
  <c r="AY91" i="1"/>
  <c r="AY79" i="1"/>
  <c r="BD77" i="1"/>
  <c r="AY77" i="1"/>
  <c r="BG7" i="1"/>
  <c r="AY65" i="1"/>
  <c r="BD63" i="1"/>
  <c r="AY63" i="1"/>
  <c r="BD7" i="1"/>
  <c r="BD5" i="1"/>
  <c r="AY128" i="1"/>
  <c r="AY124" i="1"/>
  <c r="C45" i="1"/>
  <c r="C39" i="1"/>
  <c r="BA63" i="1" l="1"/>
  <c r="BG5" i="1" l="1"/>
  <c r="Y23" i="1"/>
  <c r="O29" i="1"/>
  <c r="O41" i="1"/>
  <c r="O53" i="1"/>
  <c r="O65" i="1"/>
  <c r="H55" i="1"/>
  <c r="AZ63" i="1" l="1"/>
  <c r="BE63" i="1"/>
  <c r="BA92" i="1"/>
  <c r="AY55" i="1"/>
  <c r="C29" i="1"/>
  <c r="BS175" i="1" l="1"/>
  <c r="BK149" i="1"/>
  <c r="BK92" i="1"/>
  <c r="BY155" i="1"/>
  <c r="BU2" i="1"/>
  <c r="BY195" i="1"/>
  <c r="BQ175" i="1"/>
  <c r="BR175" i="1" s="1"/>
  <c r="BO191" i="1"/>
  <c r="BO189" i="1"/>
  <c r="AZ65" i="1" l="1"/>
  <c r="BA65" i="1"/>
  <c r="BQ188" i="1"/>
  <c r="BS196" i="1"/>
  <c r="BR188" i="1"/>
  <c r="U67" i="1"/>
  <c r="BS188" i="1" l="1"/>
  <c r="BT188" i="1"/>
  <c r="AY89" i="1" l="1"/>
  <c r="P59" i="1" s="1"/>
  <c r="AW97" i="1"/>
  <c r="AW87" i="1"/>
  <c r="Y71" i="1"/>
  <c r="Q71" i="1"/>
  <c r="Q69" i="1"/>
  <c r="Q67" i="1"/>
  <c r="AW95" i="1"/>
  <c r="AW85" i="1"/>
  <c r="AW71" i="1"/>
  <c r="BE102" i="1"/>
  <c r="BD101" i="1"/>
  <c r="BA101" i="1"/>
  <c r="BD99" i="1"/>
  <c r="BF99" i="1" s="1"/>
  <c r="AY99" i="1"/>
  <c r="P71" i="1" s="1"/>
  <c r="AX103" i="1"/>
  <c r="AX102" i="1"/>
  <c r="AX101" i="1"/>
  <c r="AX99" i="1"/>
  <c r="BT2" i="1"/>
  <c r="BV2" i="1"/>
  <c r="BE92" i="1"/>
  <c r="BD89" i="1"/>
  <c r="BD75" i="1"/>
  <c r="AY75" i="1"/>
  <c r="BD61" i="1"/>
  <c r="BE61" i="1" s="1"/>
  <c r="AY61" i="1"/>
  <c r="P35" i="1" s="1"/>
  <c r="AZ75" i="1" l="1"/>
  <c r="AZ19" i="1" s="1"/>
  <c r="P47" i="1"/>
  <c r="AZ89" i="1"/>
  <c r="BE99" i="1"/>
  <c r="BA89" i="1"/>
  <c r="BE89" i="1"/>
  <c r="AZ99" i="1"/>
  <c r="BF89" i="1"/>
  <c r="BF101" i="1"/>
  <c r="AZ61" i="1"/>
  <c r="V81" i="1"/>
  <c r="V82" i="1" s="1"/>
  <c r="BX8" i="1"/>
  <c r="BY8" i="1"/>
  <c r="BY93" i="1"/>
  <c r="CA93" i="1"/>
  <c r="BQ179" i="1"/>
  <c r="BR179" i="1"/>
  <c r="BU179" i="1"/>
  <c r="BS173" i="1"/>
  <c r="BT173" i="1"/>
  <c r="CA187" i="1"/>
  <c r="BV173" i="1"/>
  <c r="BY187" i="1"/>
  <c r="BX173" i="1"/>
  <c r="BT179" i="1"/>
  <c r="BF102" i="1"/>
  <c r="BA99" i="1"/>
  <c r="AY130" i="1"/>
  <c r="AY126" i="1"/>
  <c r="F163" i="1"/>
  <c r="F162" i="1"/>
  <c r="F161" i="1"/>
  <c r="F160" i="1"/>
  <c r="F159" i="1"/>
  <c r="F158" i="1"/>
  <c r="F142" i="1"/>
  <c r="G142" i="1"/>
  <c r="F143" i="1"/>
  <c r="G143" i="1"/>
  <c r="F144" i="1"/>
  <c r="G144" i="1"/>
  <c r="F145" i="1"/>
  <c r="G145" i="1"/>
  <c r="F146" i="1"/>
  <c r="G146" i="1"/>
  <c r="F147" i="1"/>
  <c r="G147" i="1"/>
  <c r="H143" i="1"/>
  <c r="H142" i="1"/>
  <c r="BG21" i="1" l="1"/>
  <c r="AZ67" i="1"/>
  <c r="AZ9" i="1"/>
  <c r="BD9" i="1" s="1"/>
  <c r="BF104" i="1"/>
  <c r="BG11" i="1"/>
  <c r="BF103" i="1"/>
  <c r="BH103" i="1" s="1"/>
  <c r="BA103" i="1"/>
  <c r="BC103" i="1" s="1"/>
  <c r="BW2" i="1"/>
  <c r="BK190" i="1"/>
  <c r="BK188" i="1"/>
  <c r="BR173" i="1"/>
  <c r="BQ173" i="1"/>
  <c r="BL169" i="1"/>
  <c r="BK169" i="1"/>
  <c r="BH104" i="1" l="1"/>
  <c r="BB67" i="1"/>
  <c r="BG9" i="1"/>
  <c r="BG13" i="1" s="1"/>
  <c r="AX2" i="1"/>
  <c r="F55" i="1"/>
  <c r="B43" i="1"/>
  <c r="C41" i="1"/>
  <c r="E107" i="1"/>
  <c r="F107" i="1"/>
  <c r="Q112" i="1"/>
  <c r="T107" i="1"/>
  <c r="BA129" i="1" l="1"/>
  <c r="Y21" i="1"/>
  <c r="K55" i="1"/>
  <c r="K45" i="1"/>
  <c r="D108" i="1" l="1"/>
  <c r="AZ101" i="1" l="1"/>
  <c r="BG33" i="1"/>
  <c r="BE101" i="1"/>
  <c r="AZ102" i="1"/>
  <c r="BA102" i="1"/>
  <c r="BA104" i="1" s="1"/>
  <c r="BC104" i="1" s="1"/>
  <c r="BG47" i="1"/>
  <c r="AZ31" i="1"/>
  <c r="BH47" i="1"/>
  <c r="BH51" i="1"/>
  <c r="AZ45" i="1"/>
  <c r="BD45" i="1" s="1"/>
  <c r="C108" i="1"/>
  <c r="B25" i="1"/>
  <c r="Z105" i="1"/>
  <c r="Z99" i="1"/>
  <c r="Z97" i="1"/>
  <c r="C98" i="1"/>
  <c r="C96" i="1"/>
  <c r="O109" i="1"/>
  <c r="B96" i="1"/>
  <c r="BE103" i="1" l="1"/>
  <c r="BG103" i="1" s="1"/>
  <c r="BE104" i="1"/>
  <c r="AZ104" i="1"/>
  <c r="BO194" i="1"/>
  <c r="P69" i="1" s="1"/>
  <c r="BT175" i="1"/>
  <c r="BV175" i="1" s="1"/>
  <c r="BR182" i="1" s="1"/>
  <c r="BH55" i="1"/>
  <c r="BD47" i="1"/>
  <c r="BD49" i="1" s="1"/>
  <c r="AZ47" i="1"/>
  <c r="AZ49" i="1" s="1"/>
  <c r="AZ103" i="1"/>
  <c r="V21" i="1"/>
  <c r="BE91" i="1"/>
  <c r="BE77" i="1"/>
  <c r="BG104" i="1" l="1"/>
  <c r="BX175" i="1"/>
  <c r="CA189" i="1" s="1"/>
  <c r="BS193" i="1"/>
  <c r="BB103" i="1"/>
  <c r="AZ77" i="1"/>
  <c r="BF63" i="1"/>
  <c r="AZ92" i="1"/>
  <c r="BA79" i="1"/>
  <c r="AZ79" i="1"/>
  <c r="AZ91" i="1"/>
  <c r="BT113" i="1"/>
  <c r="BF77" i="1"/>
  <c r="BF79" i="1"/>
  <c r="BF91" i="1"/>
  <c r="BQ109" i="1"/>
  <c r="BR91" i="1"/>
  <c r="BE65" i="1"/>
  <c r="BE94" i="1"/>
  <c r="BA75" i="1"/>
  <c r="BF75" i="1"/>
  <c r="BC106" i="1"/>
  <c r="BB106" i="1"/>
  <c r="BA106" i="1"/>
  <c r="AZ106" i="1"/>
  <c r="AY106" i="1"/>
  <c r="AX93" i="1"/>
  <c r="AX92" i="1"/>
  <c r="AX91" i="1"/>
  <c r="AX89" i="1"/>
  <c r="AX81" i="1"/>
  <c r="AX79" i="1"/>
  <c r="AX77" i="1"/>
  <c r="AX75" i="1"/>
  <c r="AX67" i="1"/>
  <c r="AX65" i="1"/>
  <c r="AX63" i="1"/>
  <c r="AX61" i="1"/>
  <c r="AX131" i="1"/>
  <c r="Y59" i="1"/>
  <c r="Y47" i="1"/>
  <c r="Y35" i="1"/>
  <c r="BR133" i="1"/>
  <c r="BQ133" i="1"/>
  <c r="K31" i="1"/>
  <c r="K27" i="1"/>
  <c r="BR79" i="1"/>
  <c r="BQ79" i="1"/>
  <c r="BR24" i="1"/>
  <c r="BL129" i="1"/>
  <c r="BK129" i="1"/>
  <c r="BL75" i="1"/>
  <c r="BK75" i="1"/>
  <c r="BK9" i="1"/>
  <c r="BL9" i="1"/>
  <c r="BK35" i="1"/>
  <c r="BK33" i="1"/>
  <c r="BK31" i="1"/>
  <c r="BR8" i="1"/>
  <c r="BQ8" i="1"/>
  <c r="Y82" i="1"/>
  <c r="Y81" i="1"/>
  <c r="Y79" i="1"/>
  <c r="Y77" i="1"/>
  <c r="AY119" i="1"/>
  <c r="AZ109" i="1"/>
  <c r="AY109" i="1"/>
  <c r="AW73" i="1"/>
  <c r="AW59" i="1"/>
  <c r="AW55" i="1"/>
  <c r="BC109" i="1"/>
  <c r="BB109" i="1"/>
  <c r="BA109" i="1"/>
  <c r="AY123" i="1"/>
  <c r="Y83" i="1"/>
  <c r="Y93" i="1"/>
  <c r="Y91" i="1"/>
  <c r="Y90" i="1"/>
  <c r="Y88" i="1"/>
  <c r="Y19" i="1"/>
  <c r="Q59" i="1"/>
  <c r="Q55" i="1"/>
  <c r="Q57" i="1"/>
  <c r="Q47" i="1"/>
  <c r="Q43" i="1"/>
  <c r="Q45" i="1"/>
  <c r="Q35" i="1"/>
  <c r="Q31" i="1"/>
  <c r="Q33" i="1"/>
  <c r="K39" i="1"/>
  <c r="K29" i="1"/>
  <c r="K25" i="1"/>
  <c r="K17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42" i="1"/>
  <c r="I143" i="1"/>
  <c r="I144" i="1"/>
  <c r="I145" i="1"/>
  <c r="I146" i="1"/>
  <c r="I147" i="1"/>
  <c r="H147" i="1"/>
  <c r="H145" i="1"/>
  <c r="H144" i="1"/>
  <c r="H146" i="1"/>
  <c r="Y105" i="1"/>
  <c r="Y99" i="1"/>
  <c r="Y97" i="1"/>
  <c r="B98" i="1"/>
  <c r="AY118" i="1"/>
  <c r="BO151" i="1"/>
  <c r="BK91" i="1"/>
  <c r="BK148" i="1"/>
  <c r="BK150" i="1"/>
  <c r="BK93" i="1"/>
  <c r="AW57" i="1"/>
  <c r="CA174" i="1" l="1"/>
  <c r="AZ93" i="1"/>
  <c r="AZ21" i="1"/>
  <c r="AZ81" i="1"/>
  <c r="AZ11" i="1"/>
  <c r="BD11" i="1"/>
  <c r="BD33" i="1"/>
  <c r="AZ33" i="1"/>
  <c r="AZ35" i="1" s="1"/>
  <c r="BQ182" i="1"/>
  <c r="BT182" i="1"/>
  <c r="BQ139" i="1"/>
  <c r="BV133" i="1"/>
  <c r="BX133" i="1"/>
  <c r="BT133" i="1"/>
  <c r="BS133" i="1"/>
  <c r="BG45" i="1"/>
  <c r="BG49" i="1" s="1"/>
  <c r="BU188" i="1" s="1"/>
  <c r="BW188" i="1" s="1"/>
  <c r="BB104" i="1"/>
  <c r="BE67" i="1"/>
  <c r="BG67" i="1" s="1"/>
  <c r="BF81" i="1"/>
  <c r="BH81" i="1" s="1"/>
  <c r="BE93" i="1"/>
  <c r="BD55" i="1"/>
  <c r="BA119" i="1"/>
  <c r="BC55" i="1"/>
  <c r="BD31" i="1"/>
  <c r="BE75" i="1"/>
  <c r="BF83" i="1"/>
  <c r="AZ94" i="1"/>
  <c r="BV79" i="1"/>
  <c r="BU139" i="1"/>
  <c r="AZ69" i="1"/>
  <c r="BQ16" i="1"/>
  <c r="BE69" i="1"/>
  <c r="BF65" i="1"/>
  <c r="BE79" i="1"/>
  <c r="BF92" i="1"/>
  <c r="BF93" i="1" s="1"/>
  <c r="BA61" i="1"/>
  <c r="BA67" i="1" s="1"/>
  <c r="BC67" i="1" s="1"/>
  <c r="BF61" i="1"/>
  <c r="BB119" i="1"/>
  <c r="BH111" i="1"/>
  <c r="BA77" i="1"/>
  <c r="BH23" i="1" s="1"/>
  <c r="CA28" i="1"/>
  <c r="BA91" i="1"/>
  <c r="BA93" i="1" s="1"/>
  <c r="BR16" i="1"/>
  <c r="BT79" i="1"/>
  <c r="BS8" i="1"/>
  <c r="BT8" i="1"/>
  <c r="BU16" i="1"/>
  <c r="BY28" i="1"/>
  <c r="BS79" i="1"/>
  <c r="BU85" i="1"/>
  <c r="BT85" i="1"/>
  <c r="BT139" i="1"/>
  <c r="BA121" i="1"/>
  <c r="BF3" i="1"/>
  <c r="BV8" i="1"/>
  <c r="BT16" i="1"/>
  <c r="BR85" i="1"/>
  <c r="BR139" i="1"/>
  <c r="BB121" i="1"/>
  <c r="BB55" i="1"/>
  <c r="BQ85" i="1"/>
  <c r="CA147" i="1"/>
  <c r="BC121" i="1"/>
  <c r="BX79" i="1"/>
  <c r="BY147" i="1"/>
  <c r="BC119" i="1"/>
  <c r="BT193" i="1" l="1"/>
  <c r="BL177" i="1" s="1"/>
  <c r="BA81" i="1"/>
  <c r="BC81" i="1" s="1"/>
  <c r="BA55" i="1"/>
  <c r="BH11" i="1"/>
  <c r="BH7" i="1"/>
  <c r="BU182" i="1"/>
  <c r="BZ174" i="1" s="1"/>
  <c r="BC93" i="1"/>
  <c r="BN161" i="1" s="1"/>
  <c r="BH33" i="1"/>
  <c r="BH37" i="1"/>
  <c r="BH19" i="1"/>
  <c r="BH27" i="1" s="1"/>
  <c r="BF94" i="1"/>
  <c r="BA94" i="1"/>
  <c r="BE81" i="1"/>
  <c r="BG81" i="1" s="1"/>
  <c r="BB81" i="1"/>
  <c r="BG19" i="1" s="1"/>
  <c r="BF67" i="1"/>
  <c r="BH67" i="1" s="1"/>
  <c r="V23" i="1" s="1"/>
  <c r="AX3" i="1"/>
  <c r="BD21" i="1"/>
  <c r="BD19" i="1"/>
  <c r="BA83" i="1"/>
  <c r="BE83" i="1"/>
  <c r="AZ83" i="1"/>
  <c r="BH83" i="1"/>
  <c r="BH93" i="1"/>
  <c r="BN166" i="1" s="1"/>
  <c r="BG93" i="1"/>
  <c r="BG94" i="1" s="1"/>
  <c r="BD13" i="1"/>
  <c r="AZ13" i="1"/>
  <c r="BD35" i="1"/>
  <c r="BG55" i="1"/>
  <c r="BB93" i="1"/>
  <c r="BG31" i="1" s="1"/>
  <c r="BD119" i="1"/>
  <c r="BF69" i="1"/>
  <c r="BA69" i="1"/>
  <c r="BN110" i="1"/>
  <c r="BN111" i="1"/>
  <c r="BD121" i="1"/>
  <c r="BE121" i="1" s="1"/>
  <c r="BV193" i="1" l="1"/>
  <c r="BS197" i="1" s="1"/>
  <c r="BL181" i="1" s="1"/>
  <c r="BL185" i="1"/>
  <c r="BM185" i="1" s="1"/>
  <c r="BO188" i="1"/>
  <c r="BN61" i="1"/>
  <c r="AZ55" i="1"/>
  <c r="BC94" i="1"/>
  <c r="BY189" i="1"/>
  <c r="BH41" i="1"/>
  <c r="BH15" i="1"/>
  <c r="BN162" i="1"/>
  <c r="BM177" i="1"/>
  <c r="BN177" i="1"/>
  <c r="BO190" i="1"/>
  <c r="BO193" i="1" s="1"/>
  <c r="BN159" i="1"/>
  <c r="BG35" i="1"/>
  <c r="BH94" i="1"/>
  <c r="BB94" i="1"/>
  <c r="BG23" i="1"/>
  <c r="BC83" i="1"/>
  <c r="BN103" i="1"/>
  <c r="AZ23" i="1"/>
  <c r="BB83" i="1"/>
  <c r="BN104" i="1"/>
  <c r="BD23" i="1"/>
  <c r="BN167" i="1"/>
  <c r="BN164" i="1"/>
  <c r="BN165" i="1"/>
  <c r="BN71" i="1"/>
  <c r="BN109" i="1"/>
  <c r="BG83" i="1"/>
  <c r="BN108" i="1"/>
  <c r="BN160" i="1"/>
  <c r="BH69" i="1"/>
  <c r="BN69" i="1"/>
  <c r="BN59" i="1"/>
  <c r="BC69" i="1"/>
  <c r="BN106" i="1"/>
  <c r="BN105" i="1"/>
  <c r="BN67" i="1"/>
  <c r="BG69" i="1"/>
  <c r="BN185" i="1" l="1"/>
  <c r="BO185" i="1" s="1"/>
  <c r="BO177" i="1"/>
  <c r="BE119" i="1"/>
  <c r="BC113" i="1" s="1"/>
  <c r="X67" i="1"/>
  <c r="V73" i="1" s="1"/>
  <c r="BL173" i="1"/>
  <c r="BM173" i="1" s="1"/>
  <c r="BN181" i="1"/>
  <c r="BM181" i="1"/>
  <c r="BN65" i="1"/>
  <c r="BN55" i="1"/>
  <c r="BB69" i="1"/>
  <c r="BN57" i="1"/>
  <c r="BL195" i="1" l="1"/>
  <c r="BS135" i="1"/>
  <c r="BT135" i="1" s="1"/>
  <c r="BV135" i="1" s="1"/>
  <c r="BR142" i="1" s="1"/>
  <c r="P67" i="1"/>
  <c r="BM186" i="1"/>
  <c r="BO197" i="1"/>
  <c r="BL186" i="1"/>
  <c r="BN173" i="1"/>
  <c r="BO195" i="1" s="1"/>
  <c r="BO181" i="1"/>
  <c r="BO173" i="1" l="1"/>
  <c r="BN186" i="1"/>
  <c r="BO192" i="1" l="1"/>
  <c r="BQ135" i="1" s="1"/>
  <c r="BX135" i="1" s="1"/>
  <c r="BO186" i="1"/>
  <c r="V71" i="1" l="1"/>
  <c r="BT142" i="1" l="1"/>
  <c r="BQ142" i="1"/>
  <c r="BR135" i="1"/>
  <c r="BQ148" i="1"/>
  <c r="CA195" i="1"/>
  <c r="BU142" i="1" l="1"/>
  <c r="BZ134" i="1" s="1"/>
  <c r="CA134" i="1"/>
  <c r="CA149" i="1"/>
  <c r="BY149" i="1" l="1"/>
  <c r="BO149" i="1" s="1"/>
  <c r="BO154" i="1" s="1"/>
  <c r="BO148" i="1"/>
  <c r="BS156" i="1" l="1"/>
  <c r="P57" i="1"/>
  <c r="BR148" i="1"/>
  <c r="U55" i="1"/>
  <c r="BT148" i="1" l="1"/>
  <c r="BU148" i="1" s="1"/>
  <c r="BS148" i="1"/>
  <c r="BS153" i="1" l="1"/>
  <c r="BW148" i="1"/>
  <c r="BT153" i="1" s="1"/>
  <c r="BV153" i="1" l="1"/>
  <c r="BO150" i="1" s="1"/>
  <c r="BL145" i="1"/>
  <c r="BN145" i="1" s="1"/>
  <c r="BL137" i="1"/>
  <c r="BM145" i="1" l="1"/>
  <c r="BO145" i="1" s="1"/>
  <c r="BM137" i="1"/>
  <c r="BN137" i="1"/>
  <c r="BS157" i="1"/>
  <c r="BL141" i="1" s="1"/>
  <c r="BN141" i="1" s="1"/>
  <c r="CA155" i="1"/>
  <c r="BO153" i="1"/>
  <c r="X55" i="1"/>
  <c r="BL133" i="1"/>
  <c r="BM133" i="1" s="1"/>
  <c r="BO137" i="1" l="1"/>
  <c r="P55" i="1"/>
  <c r="AY139" i="1" s="1"/>
  <c r="BS81" i="1"/>
  <c r="BT81" i="1" s="1"/>
  <c r="BV81" i="1" s="1"/>
  <c r="BR88" i="1" s="1"/>
  <c r="BM141" i="1"/>
  <c r="BO141" i="1" s="1"/>
  <c r="V61" i="1"/>
  <c r="AZ139" i="1"/>
  <c r="BO157" i="1"/>
  <c r="BL146" i="1"/>
  <c r="BN133" i="1"/>
  <c r="BL155" i="1" l="1"/>
  <c r="BN146" i="1"/>
  <c r="BO155" i="1"/>
  <c r="BA139" i="1"/>
  <c r="BM146" i="1"/>
  <c r="BO133" i="1"/>
  <c r="BO146" i="1" l="1"/>
  <c r="BO152" i="1"/>
  <c r="BQ81" i="1" s="1"/>
  <c r="V59" i="1" l="1"/>
  <c r="BQ94" i="1" l="1"/>
  <c r="BX81" i="1"/>
  <c r="BR81" i="1"/>
  <c r="CA80" i="1" l="1"/>
  <c r="BQ88" i="1"/>
  <c r="BT88" i="1"/>
  <c r="CA95" i="1"/>
  <c r="BU88" i="1" l="1"/>
  <c r="BY95" i="1" s="1"/>
  <c r="BO92" i="1" l="1"/>
  <c r="BO98" i="1" s="1"/>
  <c r="P45" i="1" s="1"/>
  <c r="BZ80" i="1"/>
  <c r="BO91" i="1"/>
  <c r="BY101" i="1"/>
  <c r="BR109" i="1" l="1"/>
  <c r="BR94" i="1"/>
  <c r="BT94" i="1" l="1"/>
  <c r="BS99" i="1" s="1"/>
  <c r="BS94" i="1"/>
  <c r="BU94" i="1" l="1"/>
  <c r="BW94" i="1" s="1"/>
  <c r="BT99" i="1" l="1"/>
  <c r="BV99" i="1" s="1"/>
  <c r="BQ104" i="1" s="1"/>
  <c r="BR104" i="1" l="1"/>
  <c r="BS104" i="1" s="1"/>
  <c r="BT114" i="1"/>
  <c r="BT115" i="1" s="1"/>
  <c r="BO94" i="1" s="1"/>
  <c r="BS109" i="1"/>
  <c r="BT109" i="1" s="1"/>
  <c r="CA101" i="1"/>
  <c r="BT104" i="1" l="1"/>
  <c r="BT122" i="1"/>
  <c r="BT118" i="1"/>
  <c r="BO93" i="1" s="1"/>
  <c r="BO97" i="1" s="1"/>
  <c r="P43" i="1" s="1"/>
  <c r="AY135" i="1" s="1"/>
  <c r="BT120" i="1"/>
  <c r="BT116" i="1"/>
  <c r="BO95" i="1" s="1"/>
  <c r="BY105" i="1"/>
  <c r="BS12" i="1"/>
  <c r="BT12" i="1" s="1"/>
  <c r="BL82" i="1"/>
  <c r="BN82" i="1" s="1"/>
  <c r="BT117" i="1" l="1"/>
  <c r="BL85" i="1" s="1"/>
  <c r="BW121" i="1"/>
  <c r="BL79" i="1"/>
  <c r="BM79" i="1" s="1"/>
  <c r="BM82" i="1"/>
  <c r="BO82" i="1" s="1"/>
  <c r="BL88" i="1"/>
  <c r="U45" i="1" l="1"/>
  <c r="X45" i="1" s="1"/>
  <c r="CA105" i="1"/>
  <c r="U43" i="1"/>
  <c r="X43" i="1" s="1"/>
  <c r="BN79" i="1"/>
  <c r="BM85" i="1"/>
  <c r="BO101" i="1"/>
  <c r="BL89" i="1"/>
  <c r="BN85" i="1"/>
  <c r="BM88" i="1"/>
  <c r="BN88" i="1"/>
  <c r="BL99" i="1" l="1"/>
  <c r="BO79" i="1"/>
  <c r="BO99" i="1"/>
  <c r="AZ135" i="1"/>
  <c r="BA135" i="1" s="1"/>
  <c r="V49" i="1"/>
  <c r="BN89" i="1"/>
  <c r="BO88" i="1"/>
  <c r="BO85" i="1"/>
  <c r="BM89" i="1"/>
  <c r="BO96" i="1" l="1"/>
  <c r="BQ12" i="1" s="1"/>
  <c r="BV12" i="1" s="1"/>
  <c r="BO89" i="1"/>
  <c r="BX12" i="1" l="1"/>
  <c r="BR20" i="1"/>
  <c r="BY12" i="1"/>
  <c r="V47" i="1"/>
  <c r="BQ28" i="1"/>
  <c r="BR12" i="1" l="1"/>
  <c r="BT20" i="1" l="1"/>
  <c r="BQ20" i="1"/>
  <c r="CA10" i="1"/>
  <c r="CA32" i="1"/>
  <c r="BU20" i="1" l="1"/>
  <c r="BO31" i="1" l="1"/>
  <c r="BO33" i="1"/>
  <c r="BR28" i="1" s="1"/>
  <c r="BZ10" i="1"/>
  <c r="BY40" i="1"/>
  <c r="BY32" i="1"/>
  <c r="BX2" i="1" s="1"/>
  <c r="H43" i="1" s="1"/>
  <c r="B68" i="1" s="1"/>
  <c r="BO45" i="1" l="1"/>
  <c r="P33" i="1" s="1"/>
  <c r="BT57" i="1"/>
  <c r="BU28" i="1"/>
  <c r="BS28" i="1"/>
  <c r="BT28" i="1"/>
  <c r="BW28" i="1" s="1"/>
  <c r="BT34" i="1" l="1"/>
  <c r="BS34" i="1"/>
  <c r="BV34" i="1" l="1"/>
  <c r="BR54" i="1" s="1"/>
  <c r="BS54" i="1" s="1"/>
  <c r="CA40" i="1" l="1"/>
  <c r="BQ40" i="1"/>
  <c r="BR40" i="1"/>
  <c r="BQ54" i="1"/>
  <c r="BT54" i="1" s="1"/>
  <c r="BU54" i="1" s="1"/>
  <c r="BW54" i="1" s="1"/>
  <c r="BQ60" i="1" s="1"/>
  <c r="BS40" i="1" l="1"/>
  <c r="BT40" i="1"/>
  <c r="BQ46" i="1" s="1"/>
  <c r="CA42" i="1" s="1"/>
  <c r="BR60" i="1"/>
  <c r="BT59" i="1" s="1"/>
  <c r="BT63" i="1" s="1"/>
  <c r="CA46" i="1"/>
  <c r="BO35" i="1"/>
  <c r="BO43" i="1" s="1"/>
  <c r="V77" i="1" s="1"/>
  <c r="BT65" i="1"/>
  <c r="BV61" i="1"/>
  <c r="BV63" i="1" s="1"/>
  <c r="BL17" i="1" l="1"/>
  <c r="BN17" i="1" s="1"/>
  <c r="BF111" i="1"/>
  <c r="V79" i="1"/>
  <c r="V91" i="1" s="1"/>
  <c r="BL25" i="1"/>
  <c r="BO25" i="1" s="1"/>
  <c r="BL21" i="1"/>
  <c r="BO37" i="1"/>
  <c r="BR46" i="1"/>
  <c r="P31" i="1"/>
  <c r="V92" i="1" s="1"/>
  <c r="BT61" i="1"/>
  <c r="BL13" i="1" s="1"/>
  <c r="BM13" i="1" s="1"/>
  <c r="BS46" i="1"/>
  <c r="V93" i="1"/>
  <c r="BN13" i="1" l="1"/>
  <c r="BG111" i="1"/>
  <c r="AY115" i="1" s="1"/>
  <c r="B65" i="1"/>
  <c r="AX111" i="1"/>
  <c r="BM17" i="1"/>
  <c r="BO17" i="1" s="1"/>
  <c r="BT46" i="1"/>
  <c r="BY46" i="1" s="1"/>
  <c r="BO39" i="1"/>
  <c r="U33" i="1" s="1"/>
  <c r="BN25" i="1"/>
  <c r="BG118" i="1"/>
  <c r="BG119" i="1" s="1"/>
  <c r="BK49" i="1"/>
  <c r="BM25" i="1"/>
  <c r="BO13" i="1" l="1"/>
  <c r="BO51" i="1"/>
  <c r="V25" i="1" s="1"/>
  <c r="BL27" i="1"/>
  <c r="BF118" i="1"/>
  <c r="BF119" i="1" s="1"/>
  <c r="AZ115" i="1" s="1"/>
  <c r="BN21" i="1"/>
  <c r="BN27" i="1" s="1"/>
  <c r="BM21" i="1"/>
  <c r="BL47" i="1" s="1"/>
  <c r="V17" i="1" s="1"/>
  <c r="U31" i="1"/>
  <c r="R41" i="1" s="1"/>
  <c r="X31" i="1"/>
  <c r="X33" i="1"/>
  <c r="BO47" i="1" l="1"/>
  <c r="V15" i="1" s="1"/>
  <c r="BO21" i="1"/>
  <c r="BO41" i="1" s="1"/>
  <c r="V19" i="1" s="1"/>
  <c r="BM27" i="1"/>
  <c r="V83" i="1"/>
  <c r="V90" i="1" s="1"/>
  <c r="H49" i="1"/>
  <c r="V37" i="1"/>
  <c r="AY132" i="1"/>
  <c r="AY136" i="1" s="1"/>
  <c r="AY140" i="1" s="1"/>
  <c r="AZ132" i="1"/>
  <c r="AZ136" i="1" s="1"/>
  <c r="AZ140" i="1" s="1"/>
  <c r="Q29" i="1"/>
  <c r="B70" i="1" l="1"/>
  <c r="BO27" i="1"/>
  <c r="V35" i="1"/>
  <c r="V88" i="1"/>
  <c r="BA132" i="1"/>
  <c r="BA136" i="1" s="1"/>
  <c r="BA140" i="1" s="1"/>
</calcChain>
</file>

<file path=xl/sharedStrings.xml><?xml version="1.0" encoding="utf-8"?>
<sst xmlns="http://schemas.openxmlformats.org/spreadsheetml/2006/main" count="568" uniqueCount="232">
  <si>
    <t>Location:</t>
  </si>
  <si>
    <t>Date:</t>
  </si>
  <si>
    <t>STORMCHAMBER DESIGN CALCULATOR</t>
  </si>
  <si>
    <t>%</t>
  </si>
  <si>
    <t>SC-44</t>
  </si>
  <si>
    <t>SedimenTrap</t>
  </si>
  <si>
    <t>Metric</t>
  </si>
  <si>
    <t>SC-34W</t>
  </si>
  <si>
    <t>Chamber</t>
  </si>
  <si>
    <t>ENTER SYSTEM PARAMETERS</t>
  </si>
  <si>
    <t>Engineer:</t>
  </si>
  <si>
    <t>Project Name:</t>
  </si>
  <si>
    <t>Required Storage Volume</t>
  </si>
  <si>
    <t>SYSTEM RESULTS</t>
  </si>
  <si>
    <t>Total Number of Chambers Required</t>
  </si>
  <si>
    <t>Rows/Chambers</t>
  </si>
  <si>
    <t>Row(s) of</t>
  </si>
  <si>
    <t>Chambers</t>
  </si>
  <si>
    <t>System Components</t>
  </si>
  <si>
    <t>Non-woven Filter Fabric Required</t>
  </si>
  <si>
    <t>end row stone</t>
  </si>
  <si>
    <t>End row total</t>
  </si>
  <si>
    <t>Middle row Stone</t>
  </si>
  <si>
    <t>Middle row Total</t>
  </si>
  <si>
    <t>Middle Chamber</t>
  </si>
  <si>
    <t>Start and End Chamber</t>
  </si>
  <si>
    <t>stone</t>
  </si>
  <si>
    <t>chamber</t>
  </si>
  <si>
    <t>total</t>
  </si>
  <si>
    <t>total end-row end-chamber volumes</t>
  </si>
  <si>
    <t>total end-row middle-chamber volumes</t>
  </si>
  <si>
    <t>total middle-row end-chamber volumes</t>
  </si>
  <si>
    <t>Number of chambers</t>
  </si>
  <si>
    <t>note: F11 is required storage</t>
  </si>
  <si>
    <t>Confirming System Calculations</t>
  </si>
  <si>
    <t>note: F25 is direction of constraint (W or L)</t>
  </si>
  <si>
    <t>note: F27 is dimension of constraint</t>
  </si>
  <si>
    <t>note: F9 is unit type</t>
  </si>
  <si>
    <t>total full middle-row middle-chamber volumes</t>
  </si>
  <si>
    <t>note: Calculations assume both end rows have the max number of chambers per row due to these rows having the least stone storage space.</t>
  </si>
  <si>
    <t>note: Calculations assume chambers will be distributed between rows as evenly as possible.</t>
  </si>
  <si>
    <t>not: F49 is the number of rows</t>
  </si>
  <si>
    <t>Number of Full Rows</t>
  </si>
  <si>
    <t>Length of chamber row</t>
  </si>
  <si>
    <t>Width of all chamber rows</t>
  </si>
  <si>
    <t>Chosen number of rows</t>
  </si>
  <si>
    <t>Layer 1 Calculation check</t>
  </si>
  <si>
    <t>Layer 2 Calculation check</t>
  </si>
  <si>
    <t>width is 1 length is 2</t>
  </si>
  <si>
    <t>layer constraint dimension</t>
  </si>
  <si>
    <t>1st layer</t>
  </si>
  <si>
    <t>2nd layer</t>
  </si>
  <si>
    <t>3rd layer</t>
  </si>
  <si>
    <t>max/min suggested number of rows for bottom layer</t>
  </si>
  <si>
    <t>Do you need impervious liner to restrict infiltration?</t>
  </si>
  <si>
    <t>Impervious Liner</t>
  </si>
  <si>
    <t>total middle-row middle-chamber volumes</t>
  </si>
  <si>
    <t>Pieces</t>
  </si>
  <si>
    <t>Total System Dimensions</t>
  </si>
  <si>
    <t>Width</t>
  </si>
  <si>
    <t>Length</t>
  </si>
  <si>
    <t>Depth</t>
  </si>
  <si>
    <t>total chambers</t>
  </si>
  <si>
    <t>start/end</t>
  </si>
  <si>
    <t>middle</t>
  </si>
  <si>
    <t>total volume</t>
  </si>
  <si>
    <t>spatial volume of C and stone: Storage V/c.in.</t>
  </si>
  <si>
    <t>bottom layer constraint direction</t>
  </si>
  <si>
    <t>System Depth</t>
  </si>
  <si>
    <t>Do you want to Include the Perimeter Stone Storage when Calculating the number of chambers?</t>
  </si>
  <si>
    <t>min stone below</t>
  </si>
  <si>
    <t>min stone above</t>
  </si>
  <si>
    <t>max stone above</t>
  </si>
  <si>
    <t>min average cover</t>
  </si>
  <si>
    <t>max average cover</t>
  </si>
  <si>
    <t>space between rows</t>
  </si>
  <si>
    <t>Trench Depth</t>
  </si>
  <si>
    <t>stone below min</t>
  </si>
  <si>
    <t>stone below max</t>
  </si>
  <si>
    <t>cover min</t>
  </si>
  <si>
    <t>cover max</t>
  </si>
  <si>
    <t>space between layer</t>
  </si>
  <si>
    <t>space between layers</t>
  </si>
  <si>
    <t>L1 min</t>
  </si>
  <si>
    <t>max</t>
  </si>
  <si>
    <t>L2 min</t>
  </si>
  <si>
    <t>L3 min</t>
  </si>
  <si>
    <t>Layer Width</t>
  </si>
  <si>
    <t>Layer Depth</t>
  </si>
  <si>
    <t>Layer Length</t>
  </si>
  <si>
    <t>eCeR storage volume area of width-height</t>
  </si>
  <si>
    <t>eCeR Storage volume area of length-height</t>
  </si>
  <si>
    <t>mCeR storage volume area of width-height</t>
  </si>
  <si>
    <t>eCmR storage volume area of width-height</t>
  </si>
  <si>
    <t>eCmR Storage volume area of length-height</t>
  </si>
  <si>
    <t>mCeR storage volume area of length-height</t>
  </si>
  <si>
    <t>mCmR storage volume area of width-height</t>
  </si>
  <si>
    <t>mCmR storage volume area of length-height</t>
  </si>
  <si>
    <t>width of suggested rows</t>
  </si>
  <si>
    <t>length of sugested number of C per R</t>
  </si>
  <si>
    <t>yes</t>
  </si>
  <si>
    <t>no</t>
  </si>
  <si>
    <t>Choose the Chamber Model</t>
  </si>
  <si>
    <t>Imperial</t>
  </si>
  <si>
    <t>Suggested</t>
  </si>
  <si>
    <t>Actual</t>
  </si>
  <si>
    <t>Number of Rows</t>
  </si>
  <si>
    <t>Number of Chambers per Full Row</t>
  </si>
  <si>
    <t>Required Storage</t>
  </si>
  <si>
    <t>Number of End Rows</t>
  </si>
  <si>
    <t>Number of Middle Rows</t>
  </si>
  <si>
    <t>Volume of ECER*Number of End Rows</t>
  </si>
  <si>
    <t>Volume of ECMR*Number of Middle Rows</t>
  </si>
  <si>
    <t>Max Number of End Chambers per Full Row</t>
  </si>
  <si>
    <t>Max Number of Middle Chambers per Full Row</t>
  </si>
  <si>
    <t>Max number of Chambers per full Row</t>
  </si>
  <si>
    <t>Number of Partial Row End Chambers</t>
  </si>
  <si>
    <t>Number of Partial Row Middle Chambers</t>
  </si>
  <si>
    <t>Total Number of Chambers per Partial Row</t>
  </si>
  <si>
    <t>(Using Dimension Constraints)</t>
  </si>
  <si>
    <t>L1</t>
  </si>
  <si>
    <t>L2</t>
  </si>
  <si>
    <t>purpose of this area is to discover the minimum and maximum allowable number of rows based on the dimension constraints</t>
  </si>
  <si>
    <t>purpose of this section is to determin the number of chambers per full/partial row using the chosen/default number of rows</t>
  </si>
  <si>
    <t>Volume of full end Row</t>
  </si>
  <si>
    <t>Volume of Full Mid Row</t>
  </si>
  <si>
    <t>Number of full middle rows</t>
  </si>
  <si>
    <t>Number of full rows</t>
  </si>
  <si>
    <t>Installed System Storage Volume</t>
  </si>
  <si>
    <t>Remaining Volume for Partial Row</t>
  </si>
  <si>
    <t>remaining volume</t>
  </si>
  <si>
    <t>number of end rows in remaining volume</t>
  </si>
  <si>
    <t>Number of middle rows in remaining volume</t>
  </si>
  <si>
    <t>max number of rows</t>
  </si>
  <si>
    <t>min C per row</t>
  </si>
  <si>
    <t>max C per row</t>
  </si>
  <si>
    <t>aka number of rows with max number of chambers</t>
  </si>
  <si>
    <t>aka chosen number of rows</t>
  </si>
  <si>
    <t>number of extra Ch</t>
  </si>
  <si>
    <t>Are there Rows with more chambers than other rows</t>
  </si>
  <si>
    <t>number of R with min C</t>
  </si>
  <si>
    <t>Volume of end chambers in all Rs by min C per R</t>
  </si>
  <si>
    <t>volume of mid chambers in all Rs by min C per R</t>
  </si>
  <si>
    <t>total volume of all Rs by the min number of chambers per Row</t>
  </si>
  <si>
    <t xml:space="preserve">are there more than 15 rows </t>
  </si>
  <si>
    <t>aka, is the inflow row above greater than 125ft</t>
  </si>
  <si>
    <t>are there less than 4 R</t>
  </si>
  <si>
    <t>aka are there less that 4 chambers in the inflow row above</t>
  </si>
  <si>
    <t>resulting number of sedimentraps</t>
  </si>
  <si>
    <t>number of full rows</t>
  </si>
  <si>
    <t>Number of chambers in partial row</t>
  </si>
  <si>
    <t>Number of Sedimentraps (aka number of short rows)</t>
  </si>
  <si>
    <t>number of chambers in short rows</t>
  </si>
  <si>
    <t>number of middle chambers in short row</t>
  </si>
  <si>
    <t>number of rows</t>
  </si>
  <si>
    <t>number of chambers per row</t>
  </si>
  <si>
    <t>Layer 3 Calculation check</t>
  </si>
  <si>
    <t>Layer Installed Storage</t>
  </si>
  <si>
    <t>Total Layer Storage Volume</t>
  </si>
  <si>
    <t>Total Layer Storage Volume (no perimeter)</t>
  </si>
  <si>
    <t>2 layers</t>
  </si>
  <si>
    <t>layer 2</t>
  </si>
  <si>
    <t>3 layers</t>
  </si>
  <si>
    <t>layer 3</t>
  </si>
  <si>
    <t>chambers internal volume</t>
  </si>
  <si>
    <t>system spatial volume</t>
  </si>
  <si>
    <t>stone spatial volume</t>
  </si>
  <si>
    <t>total layers</t>
  </si>
  <si>
    <t xml:space="preserve">            </t>
  </si>
  <si>
    <t>1 layer</t>
  </si>
  <si>
    <t>End C End R storage volume w/ stone</t>
  </si>
  <si>
    <t>Additional stone Storage</t>
  </si>
  <si>
    <t>1 row 1 chamber system</t>
  </si>
  <si>
    <t>total storage</t>
  </si>
  <si>
    <t>2 rows 2 chambers 1 chamber per row</t>
  </si>
  <si>
    <t>1 row 2 chambers</t>
  </si>
  <si>
    <t>End C End R storage volume w/ stone (2x)</t>
  </si>
  <si>
    <t>2 rows 2 chambers, 1 chamber per row</t>
  </si>
  <si>
    <t>Number of mid Chambers per short row</t>
  </si>
  <si>
    <t>Total number of chambers per short row</t>
  </si>
  <si>
    <t>number of short rows</t>
  </si>
  <si>
    <t>Chosen Number of Rows</t>
  </si>
  <si>
    <t>number of sedimentraps</t>
  </si>
  <si>
    <t>WORKABLE AREA</t>
  </si>
  <si>
    <t>chamber length</t>
  </si>
  <si>
    <t>full chamber volume</t>
  </si>
  <si>
    <t>full chamber length</t>
  </si>
  <si>
    <t>single chamber length</t>
  </si>
  <si>
    <t>L3</t>
  </si>
  <si>
    <t>stone storage</t>
  </si>
  <si>
    <t>additional stone</t>
  </si>
  <si>
    <t>MREC 1C/R</t>
  </si>
  <si>
    <t>volume of both chambers</t>
  </si>
  <si>
    <t>totals</t>
  </si>
  <si>
    <t>Try adjusting the number of rows until you are satisfied with the layout.</t>
  </si>
  <si>
    <t>Total Chamber in Layer</t>
  </si>
  <si>
    <t>number of full middle rows</t>
  </si>
  <si>
    <t>Desired Number of Layers</t>
  </si>
  <si>
    <t>Choose Design Constraint</t>
  </si>
  <si>
    <t>Stone Void (Industry Standard is 40%)</t>
  </si>
  <si>
    <t>Number of SedimenTraps Desired</t>
  </si>
  <si>
    <t>Minimum Trench Length</t>
  </si>
  <si>
    <t>Minimum Trench Width</t>
  </si>
  <si>
    <t>Minimum Bed Size Required</t>
  </si>
  <si>
    <t>Total Chambers in Layer</t>
  </si>
  <si>
    <t>No rows in this layer are shorter or longer than any other rows.</t>
  </si>
  <si>
    <t>Volume of Excavation (not including fill)</t>
  </si>
  <si>
    <t>Choose Measurement Type</t>
  </si>
  <si>
    <t>SC-34E</t>
  </si>
  <si>
    <t>Layer 4 Calculation check</t>
  </si>
  <si>
    <t>SC-18</t>
  </si>
  <si>
    <t>4th layer</t>
  </si>
  <si>
    <t>L4</t>
  </si>
  <si>
    <t>Minimum Installed Storage with stone</t>
  </si>
  <si>
    <t>Minimum Suggested Number of SedimenTraps (per inflow row)</t>
  </si>
  <si>
    <t>border storage in S/E C in MR</t>
  </si>
  <si>
    <t>Installed Storage of S/E C in MR w/out border</t>
  </si>
  <si>
    <t>Stabilization Fabric</t>
  </si>
  <si>
    <t>Number of Inflow Rows</t>
  </si>
  <si>
    <t xml:space="preserve"> Minimum Amount of Stone Required</t>
  </si>
  <si>
    <r>
      <t xml:space="preserve">(3/4" - 2" crushed, washed, </t>
    </r>
    <r>
      <rPr>
        <b/>
        <sz val="11"/>
        <rFont val="Calibri"/>
        <family val="2"/>
        <scheme val="minor"/>
      </rPr>
      <t>ANGULAR</t>
    </r>
    <r>
      <rPr>
        <sz val="11"/>
        <rFont val="Calibri"/>
        <family val="2"/>
        <scheme val="minor"/>
      </rPr>
      <t xml:space="preserve"> stone or concrete only)</t>
    </r>
  </si>
  <si>
    <t>Minimum Internal Storage of a Chamber</t>
  </si>
  <si>
    <t>Please note, while the SC-44 and SC-18 are available in all locations the SC-34W only ships from the West Coast of the US while the SC-34E only ships from the East Coast of the US.</t>
  </si>
  <si>
    <r>
      <t>For more information visit</t>
    </r>
    <r>
      <rPr>
        <b/>
        <i/>
        <sz val="12"/>
        <color theme="3"/>
        <rFont val="Calibri"/>
        <family val="2"/>
        <scheme val="minor"/>
      </rPr>
      <t xml:space="preserve"> ndspro.com</t>
    </r>
    <r>
      <rPr>
        <i/>
        <sz val="12"/>
        <color theme="3"/>
        <rFont val="Calibri"/>
        <family val="2"/>
        <scheme val="minor"/>
      </rPr>
      <t xml:space="preserve">, or if you need help call us at </t>
    </r>
    <r>
      <rPr>
        <b/>
        <i/>
        <sz val="12"/>
        <color theme="3"/>
        <rFont val="Calibri"/>
        <family val="2"/>
        <scheme val="minor"/>
      </rPr>
      <t>(888) 825-4716</t>
    </r>
  </si>
  <si>
    <r>
      <t xml:space="preserve">Trench depths beyond the range suggested may be achievable.                                                                 For assistance please contact us at </t>
    </r>
    <r>
      <rPr>
        <b/>
        <i/>
        <sz val="12"/>
        <rFont val="Calibri"/>
        <family val="2"/>
        <scheme val="minor"/>
      </rPr>
      <t>(888) 825-4716.</t>
    </r>
  </si>
  <si>
    <t>Total Chamber Storage Volume</t>
  </si>
  <si>
    <t>Total Stone Storage Volume</t>
  </si>
  <si>
    <t>Total Stone Storage</t>
  </si>
  <si>
    <t>Total Chamber Storage</t>
  </si>
  <si>
    <r>
      <t xml:space="preserve">do constraints apply?               </t>
    </r>
    <r>
      <rPr>
        <sz val="11"/>
        <color theme="0"/>
        <rFont val="Calibri"/>
        <family val="2"/>
        <scheme val="minor"/>
      </rPr>
      <t>(yes=1,no=2)</t>
    </r>
  </si>
  <si>
    <r>
      <t xml:space="preserve">note: The </t>
    </r>
    <r>
      <rPr>
        <b/>
        <sz val="11"/>
        <color theme="0"/>
        <rFont val="Calibri"/>
        <family val="2"/>
        <scheme val="minor"/>
      </rPr>
      <t>Above</t>
    </r>
    <r>
      <rPr>
        <sz val="11"/>
        <color theme="0"/>
        <rFont val="Calibri"/>
        <family val="2"/>
        <scheme val="minor"/>
      </rPr>
      <t xml:space="preserve"> segment is for determining the number of rows/number of chambers per row dependant on W/L constraints. </t>
    </r>
  </si>
  <si>
    <r>
      <t xml:space="preserve">note: The </t>
    </r>
    <r>
      <rPr>
        <b/>
        <sz val="11"/>
        <color theme="0"/>
        <rFont val="Calibri"/>
        <family val="2"/>
        <scheme val="minor"/>
      </rPr>
      <t>Above</t>
    </r>
    <r>
      <rPr>
        <sz val="11"/>
        <color theme="0"/>
        <rFont val="Calibri"/>
        <family val="2"/>
        <scheme val="minor"/>
      </rPr>
      <t xml:space="preserve"> segment is for determining the number of rows based on the number of chambers per row when the constraint is by length.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</si>
</sst>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;;;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8"/>
      <name val="Calibri"/>
      <family val="2"/>
      <scheme val="minor"/>
    </font>
    <font>
      <u/>
      <sz val="10"/>
      <name val="Calibri"/>
      <family val="2"/>
      <scheme val="minor"/>
    </font>
    <font>
      <sz val="8"/>
      <name val="Calibri"/>
      <family val="2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u/>
      <sz val="8.25"/>
      <color theme="10"/>
      <name val="Calibri"/>
      <family val="2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8.25"/>
      <name val="Webdings"/>
      <family val="1"/>
      <charset val="2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8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2"/>
      <color theme="0" tint="-0.34998626667073579"/>
      <name val="Calibri"/>
      <family val="2"/>
      <scheme val="minor"/>
    </font>
    <font>
      <b/>
      <sz val="14"/>
      <color theme="0" tint="-0.34998626667073579"/>
      <name val="Calibri"/>
      <family val="2"/>
      <scheme val="minor"/>
    </font>
    <font>
      <b/>
      <i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2"/>
      <color theme="3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0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u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425">
    <xf numFmtId="0" fontId="0" fillId="0" borderId="0" xfId="0"/>
    <xf numFmtId="0" fontId="0" fillId="0" borderId="0" xfId="0"/>
    <xf numFmtId="0" fontId="0" fillId="0" borderId="0" xfId="0" applyFill="1" applyBorder="1"/>
    <xf numFmtId="0" fontId="6" fillId="0" borderId="0" xfId="0" applyNumberFormat="1" applyFont="1" applyFill="1" applyBorder="1" applyAlignment="1" applyProtection="1">
      <alignment vertical="center" wrapText="1"/>
      <protection hidden="1"/>
    </xf>
    <xf numFmtId="0" fontId="10" fillId="0" borderId="0" xfId="0" applyNumberFormat="1" applyFont="1" applyFill="1" applyBorder="1" applyAlignment="1" applyProtection="1">
      <alignment vertical="center" wrapText="1"/>
      <protection hidden="1"/>
    </xf>
    <xf numFmtId="0" fontId="3" fillId="0" borderId="0" xfId="0" applyNumberFormat="1" applyFont="1" applyFill="1" applyBorder="1" applyAlignment="1" applyProtection="1">
      <alignment wrapText="1"/>
      <protection hidden="1"/>
    </xf>
    <xf numFmtId="0" fontId="9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NumberFormat="1" applyFont="1" applyFill="1" applyBorder="1" applyAlignment="1" applyProtection="1">
      <alignment vertical="center" wrapText="1"/>
      <protection hidden="1"/>
    </xf>
    <xf numFmtId="0" fontId="5" fillId="0" borderId="0" xfId="0" applyNumberFormat="1" applyFont="1" applyFill="1" applyBorder="1" applyAlignment="1" applyProtection="1">
      <alignment vertical="center" wrapText="1"/>
      <protection hidden="1"/>
    </xf>
    <xf numFmtId="0" fontId="2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NumberFormat="1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Fill="1" applyBorder="1" applyAlignment="1" applyProtection="1">
      <protection hidden="1"/>
    </xf>
    <xf numFmtId="0" fontId="2" fillId="0" borderId="0" xfId="0" applyNumberFormat="1" applyFont="1" applyFill="1" applyBorder="1" applyAlignment="1" applyProtection="1">
      <alignment vertical="center" wrapText="1"/>
      <protection hidden="1"/>
    </xf>
    <xf numFmtId="0" fontId="6" fillId="0" borderId="0" xfId="0" applyNumberFormat="1" applyFont="1" applyFill="1" applyBorder="1" applyAlignment="1" applyProtection="1">
      <alignment horizontal="center" wrapText="1"/>
      <protection hidden="1"/>
    </xf>
    <xf numFmtId="0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NumberFormat="1" applyFont="1" applyFill="1" applyBorder="1" applyProtection="1">
      <protection hidden="1"/>
    </xf>
    <xf numFmtId="0" fontId="3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 vertical="center" wrapText="1"/>
      <protection hidden="1"/>
    </xf>
    <xf numFmtId="0" fontId="2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NumberFormat="1" applyFont="1" applyProtection="1">
      <protection hidden="1"/>
    </xf>
    <xf numFmtId="0" fontId="12" fillId="0" borderId="0" xfId="0" applyNumberFormat="1" applyFont="1" applyFill="1" applyBorder="1" applyAlignment="1" applyProtection="1">
      <alignment horizontal="left" vertical="top" wrapText="1"/>
      <protection hidden="1"/>
    </xf>
    <xf numFmtId="0" fontId="6" fillId="0" borderId="0" xfId="0" applyNumberFormat="1" applyFont="1" applyFill="1" applyBorder="1" applyProtection="1">
      <protection hidden="1"/>
    </xf>
    <xf numFmtId="0" fontId="2" fillId="0" borderId="0" xfId="0" applyNumberFormat="1" applyFont="1" applyBorder="1" applyProtection="1">
      <protection hidden="1"/>
    </xf>
    <xf numFmtId="0" fontId="3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NumberFormat="1" applyFont="1" applyFill="1" applyBorder="1" applyAlignment="1" applyProtection="1">
      <alignment vertical="center" wrapText="1"/>
      <protection hidden="1"/>
    </xf>
    <xf numFmtId="0" fontId="5" fillId="0" borderId="0" xfId="0" applyNumberFormat="1" applyFont="1" applyFill="1" applyBorder="1" applyAlignment="1" applyProtection="1">
      <alignment wrapText="1"/>
      <protection hidden="1"/>
    </xf>
    <xf numFmtId="0" fontId="2" fillId="0" borderId="0" xfId="0" applyNumberFormat="1" applyFont="1" applyFill="1" applyProtection="1">
      <protection hidden="1"/>
    </xf>
    <xf numFmtId="0" fontId="6" fillId="0" borderId="0" xfId="0" applyNumberFormat="1" applyFont="1" applyBorder="1" applyProtection="1">
      <protection hidden="1"/>
    </xf>
    <xf numFmtId="0" fontId="6" fillId="0" borderId="0" xfId="0" applyNumberFormat="1" applyFont="1" applyProtection="1">
      <protection hidden="1"/>
    </xf>
    <xf numFmtId="0" fontId="2" fillId="0" borderId="0" xfId="0" applyNumberFormat="1" applyFont="1" applyFill="1" applyBorder="1" applyAlignment="1" applyProtection="1">
      <alignment wrapText="1"/>
      <protection hidden="1"/>
    </xf>
    <xf numFmtId="0" fontId="1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Border="1" applyAlignment="1" applyProtection="1">
      <alignment vertical="center"/>
      <protection hidden="1"/>
    </xf>
    <xf numFmtId="0" fontId="7" fillId="0" borderId="0" xfId="0" applyNumberFormat="1" applyFont="1" applyFill="1" applyBorder="1" applyAlignment="1" applyProtection="1">
      <alignment wrapText="1"/>
      <protection hidden="1"/>
    </xf>
    <xf numFmtId="0" fontId="6" fillId="0" borderId="0" xfId="0" applyNumberFormat="1" applyFont="1" applyFill="1" applyBorder="1" applyAlignment="1" applyProtection="1">
      <alignment wrapText="1"/>
      <protection hidden="1"/>
    </xf>
    <xf numFmtId="0" fontId="8" fillId="0" borderId="0" xfId="0" applyNumberFormat="1" applyFont="1" applyFill="1" applyBorder="1" applyAlignment="1" applyProtection="1">
      <alignment vertical="center" wrapText="1"/>
      <protection hidden="1"/>
    </xf>
    <xf numFmtId="0" fontId="9" fillId="0" borderId="0" xfId="0" applyNumberFormat="1" applyFont="1" applyFill="1" applyBorder="1" applyAlignment="1" applyProtection="1">
      <alignment wrapText="1"/>
      <protection hidden="1"/>
    </xf>
    <xf numFmtId="0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NumberFormat="1" applyFont="1" applyBorder="1" applyAlignment="1" applyProtection="1">
      <protection hidden="1"/>
    </xf>
    <xf numFmtId="0" fontId="2" fillId="0" borderId="0" xfId="0" applyNumberFormat="1" applyFont="1" applyFill="1" applyBorder="1" applyAlignment="1" applyProtection="1">
      <alignment horizontal="right"/>
      <protection hidden="1"/>
    </xf>
    <xf numFmtId="0" fontId="5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NumberFormat="1" applyFont="1" applyBorder="1" applyAlignment="1" applyProtection="1">
      <alignment horizontal="left"/>
      <protection hidden="1"/>
    </xf>
    <xf numFmtId="0" fontId="2" fillId="0" borderId="0" xfId="0" applyNumberFormat="1" applyFont="1" applyAlignment="1" applyProtection="1">
      <alignment horizontal="right"/>
      <protection hidden="1"/>
    </xf>
    <xf numFmtId="0" fontId="2" fillId="3" borderId="0" xfId="0" applyNumberFormat="1" applyFont="1" applyFill="1" applyBorder="1" applyProtection="1">
      <protection hidden="1"/>
    </xf>
    <xf numFmtId="0" fontId="2" fillId="3" borderId="3" xfId="0" applyNumberFormat="1" applyFont="1" applyFill="1" applyBorder="1" applyAlignment="1" applyProtection="1">
      <alignment horizontal="right"/>
      <protection hidden="1"/>
    </xf>
    <xf numFmtId="0" fontId="14" fillId="3" borderId="0" xfId="0" applyNumberFormat="1" applyFont="1" applyFill="1" applyBorder="1" applyAlignment="1" applyProtection="1">
      <alignment horizontal="right" vertical="center"/>
      <protection hidden="1"/>
    </xf>
    <xf numFmtId="0" fontId="14" fillId="3" borderId="0" xfId="0" applyNumberFormat="1" applyFont="1" applyFill="1" applyBorder="1" applyAlignment="1" applyProtection="1">
      <alignment vertical="center"/>
      <protection hidden="1"/>
    </xf>
    <xf numFmtId="0" fontId="13" fillId="0" borderId="0" xfId="0" applyNumberFormat="1" applyFont="1" applyFill="1" applyAlignment="1" applyProtection="1">
      <alignment vertical="center"/>
      <protection hidden="1"/>
    </xf>
    <xf numFmtId="0" fontId="14" fillId="0" borderId="0" xfId="0" applyNumberFormat="1" applyFont="1" applyBorder="1" applyAlignment="1" applyProtection="1">
      <protection hidden="1"/>
    </xf>
    <xf numFmtId="0" fontId="14" fillId="0" borderId="0" xfId="0" applyNumberFormat="1" applyFont="1" applyBorder="1" applyAlignment="1" applyProtection="1">
      <alignment horizontal="center"/>
      <protection hidden="1"/>
    </xf>
    <xf numFmtId="0" fontId="4" fillId="0" borderId="0" xfId="0" applyNumberFormat="1" applyFont="1" applyBorder="1" applyAlignment="1" applyProtection="1">
      <protection hidden="1"/>
    </xf>
    <xf numFmtId="0" fontId="2" fillId="0" borderId="0" xfId="0" applyNumberFormat="1" applyFont="1" applyBorder="1" applyAlignment="1" applyProtection="1">
      <alignment vertical="top"/>
      <protection hidden="1"/>
    </xf>
    <xf numFmtId="0" fontId="2" fillId="3" borderId="10" xfId="0" applyNumberFormat="1" applyFont="1" applyFill="1" applyBorder="1" applyAlignment="1" applyProtection="1">
      <protection hidden="1"/>
    </xf>
    <xf numFmtId="0" fontId="2" fillId="3" borderId="11" xfId="0" applyNumberFormat="1" applyFont="1" applyFill="1" applyBorder="1" applyAlignment="1" applyProtection="1">
      <protection hidden="1"/>
    </xf>
    <xf numFmtId="0" fontId="2" fillId="3" borderId="12" xfId="0" applyNumberFormat="1" applyFont="1" applyFill="1" applyBorder="1" applyAlignment="1" applyProtection="1">
      <protection hidden="1"/>
    </xf>
    <xf numFmtId="0" fontId="15" fillId="3" borderId="10" xfId="0" applyNumberFormat="1" applyFont="1" applyFill="1" applyBorder="1" applyAlignment="1" applyProtection="1">
      <alignment vertical="center"/>
      <protection hidden="1"/>
    </xf>
    <xf numFmtId="0" fontId="15" fillId="3" borderId="11" xfId="0" applyNumberFormat="1" applyFont="1" applyFill="1" applyBorder="1" applyAlignment="1" applyProtection="1">
      <alignment vertical="center"/>
      <protection hidden="1"/>
    </xf>
    <xf numFmtId="0" fontId="15" fillId="3" borderId="12" xfId="0" applyNumberFormat="1" applyFont="1" applyFill="1" applyBorder="1" applyAlignment="1" applyProtection="1">
      <alignment vertical="center"/>
      <protection hidden="1"/>
    </xf>
    <xf numFmtId="0" fontId="3" fillId="3" borderId="3" xfId="0" applyNumberFormat="1" applyFont="1" applyFill="1" applyBorder="1" applyAlignment="1" applyProtection="1">
      <alignment horizontal="right"/>
      <protection hidden="1"/>
    </xf>
    <xf numFmtId="0" fontId="2" fillId="3" borderId="2" xfId="0" applyNumberFormat="1" applyFont="1" applyFill="1" applyBorder="1" applyAlignment="1" applyProtection="1">
      <protection hidden="1"/>
    </xf>
    <xf numFmtId="0" fontId="15" fillId="3" borderId="3" xfId="0" applyNumberFormat="1" applyFont="1" applyFill="1" applyBorder="1" applyAlignment="1" applyProtection="1">
      <alignment vertical="center"/>
      <protection hidden="1"/>
    </xf>
    <xf numFmtId="0" fontId="3" fillId="3" borderId="0" xfId="0" applyNumberFormat="1" applyFont="1" applyFill="1" applyBorder="1" applyAlignment="1" applyProtection="1">
      <protection hidden="1"/>
    </xf>
    <xf numFmtId="0" fontId="2" fillId="3" borderId="0" xfId="0" applyNumberFormat="1" applyFont="1" applyFill="1" applyBorder="1" applyAlignment="1" applyProtection="1">
      <protection hidden="1"/>
    </xf>
    <xf numFmtId="0" fontId="3" fillId="3" borderId="0" xfId="0" applyNumberFormat="1" applyFont="1" applyFill="1" applyBorder="1" applyAlignment="1" applyProtection="1">
      <alignment horizontal="right"/>
      <protection hidden="1"/>
    </xf>
    <xf numFmtId="0" fontId="2" fillId="3" borderId="0" xfId="0" applyNumberFormat="1" applyFont="1" applyFill="1" applyBorder="1" applyAlignment="1" applyProtection="1">
      <alignment vertical="center"/>
      <protection hidden="1"/>
    </xf>
    <xf numFmtId="0" fontId="2" fillId="3" borderId="0" xfId="0" applyNumberFormat="1" applyFont="1" applyFill="1" applyBorder="1" applyAlignment="1" applyProtection="1">
      <alignment horizontal="left" vertical="center"/>
      <protection hidden="1"/>
    </xf>
    <xf numFmtId="0" fontId="15" fillId="3" borderId="0" xfId="0" applyNumberFormat="1" applyFont="1" applyFill="1" applyBorder="1" applyAlignment="1" applyProtection="1">
      <alignment vertical="center"/>
      <protection hidden="1"/>
    </xf>
    <xf numFmtId="0" fontId="15" fillId="3" borderId="2" xfId="0" applyNumberFormat="1" applyFont="1" applyFill="1" applyBorder="1" applyAlignment="1" applyProtection="1">
      <alignment vertical="center"/>
      <protection hidden="1"/>
    </xf>
    <xf numFmtId="0" fontId="2" fillId="3" borderId="0" xfId="0" applyNumberFormat="1" applyFont="1" applyFill="1" applyBorder="1" applyAlignment="1" applyProtection="1">
      <alignment horizontal="left"/>
      <protection hidden="1"/>
    </xf>
    <xf numFmtId="0" fontId="2" fillId="3" borderId="3" xfId="0" applyNumberFormat="1" applyFont="1" applyFill="1" applyBorder="1" applyAlignment="1" applyProtection="1">
      <protection hidden="1"/>
    </xf>
    <xf numFmtId="0" fontId="2" fillId="3" borderId="0" xfId="0" applyNumberFormat="1" applyFont="1" applyFill="1" applyBorder="1" applyAlignment="1" applyProtection="1">
      <alignment horizontal="center"/>
      <protection hidden="1"/>
    </xf>
    <xf numFmtId="0" fontId="3" fillId="3" borderId="0" xfId="0" applyNumberFormat="1" applyFont="1" applyFill="1" applyBorder="1" applyAlignment="1" applyProtection="1">
      <alignment vertical="top"/>
      <protection hidden="1"/>
    </xf>
    <xf numFmtId="0" fontId="2" fillId="3" borderId="0" xfId="0" applyNumberFormat="1" applyFont="1" applyFill="1" applyBorder="1" applyAlignment="1" applyProtection="1">
      <alignment vertical="top"/>
      <protection hidden="1"/>
    </xf>
    <xf numFmtId="0" fontId="3" fillId="3" borderId="0" xfId="0" applyNumberFormat="1" applyFont="1" applyFill="1" applyBorder="1" applyAlignment="1" applyProtection="1">
      <alignment horizontal="right" vertical="top"/>
      <protection hidden="1"/>
    </xf>
    <xf numFmtId="0" fontId="16" fillId="3" borderId="0" xfId="1" applyNumberFormat="1" applyFont="1" applyFill="1" applyBorder="1" applyAlignment="1" applyProtection="1">
      <alignment vertical="center" wrapText="1"/>
      <protection hidden="1"/>
    </xf>
    <xf numFmtId="0" fontId="20" fillId="3" borderId="0" xfId="0" applyNumberFormat="1" applyFont="1" applyFill="1" applyBorder="1" applyAlignment="1" applyProtection="1">
      <alignment vertical="top" wrapText="1"/>
      <protection hidden="1"/>
    </xf>
    <xf numFmtId="0" fontId="20" fillId="3" borderId="0" xfId="0" applyNumberFormat="1" applyFont="1" applyFill="1" applyBorder="1" applyAlignment="1" applyProtection="1">
      <alignment horizontal="left" vertical="top" wrapText="1"/>
      <protection hidden="1"/>
    </xf>
    <xf numFmtId="0" fontId="4" fillId="3" borderId="0" xfId="0" applyNumberFormat="1" applyFont="1" applyFill="1" applyBorder="1" applyAlignment="1" applyProtection="1">
      <alignment horizontal="left" vertical="center"/>
      <protection hidden="1"/>
    </xf>
    <xf numFmtId="0" fontId="2" fillId="3" borderId="0" xfId="0" applyNumberFormat="1" applyFont="1" applyFill="1" applyBorder="1" applyAlignment="1" applyProtection="1">
      <alignment horizontal="right" vertical="center"/>
      <protection hidden="1"/>
    </xf>
    <xf numFmtId="0" fontId="23" fillId="3" borderId="0" xfId="0" applyNumberFormat="1" applyFont="1" applyFill="1" applyBorder="1" applyAlignment="1" applyProtection="1">
      <alignment horizontal="center"/>
      <protection hidden="1"/>
    </xf>
    <xf numFmtId="0" fontId="3" fillId="3" borderId="3" xfId="0" applyNumberFormat="1" applyFont="1" applyFill="1" applyBorder="1" applyAlignment="1" applyProtection="1">
      <alignment horizontal="right" vertical="center"/>
      <protection hidden="1"/>
    </xf>
    <xf numFmtId="0" fontId="2" fillId="3" borderId="3" xfId="0" applyNumberFormat="1" applyFont="1" applyFill="1" applyBorder="1" applyProtection="1">
      <protection hidden="1"/>
    </xf>
    <xf numFmtId="0" fontId="2" fillId="3" borderId="2" xfId="0" applyNumberFormat="1" applyFont="1" applyFill="1" applyBorder="1" applyProtection="1">
      <protection hidden="1"/>
    </xf>
    <xf numFmtId="0" fontId="14" fillId="3" borderId="3" xfId="0" applyNumberFormat="1" applyFont="1" applyFill="1" applyBorder="1" applyAlignment="1" applyProtection="1">
      <alignment horizontal="right" vertical="center"/>
      <protection hidden="1"/>
    </xf>
    <xf numFmtId="0" fontId="14" fillId="3" borderId="0" xfId="0" applyNumberFormat="1" applyFont="1" applyFill="1" applyBorder="1" applyAlignment="1" applyProtection="1">
      <alignment horizontal="left" vertical="center"/>
      <protection hidden="1"/>
    </xf>
    <xf numFmtId="0" fontId="2" fillId="3" borderId="3" xfId="0" applyNumberFormat="1" applyFont="1" applyFill="1" applyBorder="1" applyAlignment="1" applyProtection="1">
      <alignment horizontal="right" vertical="center"/>
      <protection hidden="1"/>
    </xf>
    <xf numFmtId="0" fontId="14" fillId="3" borderId="2" xfId="0" applyNumberFormat="1" applyFont="1" applyFill="1" applyBorder="1" applyAlignment="1" applyProtection="1">
      <alignment vertical="center"/>
      <protection hidden="1"/>
    </xf>
    <xf numFmtId="0" fontId="6" fillId="3" borderId="3" xfId="0" applyNumberFormat="1" applyFont="1" applyFill="1" applyBorder="1" applyAlignment="1" applyProtection="1">
      <alignment vertical="top" wrapText="1"/>
      <protection hidden="1"/>
    </xf>
    <xf numFmtId="0" fontId="22" fillId="3" borderId="0" xfId="0" applyNumberFormat="1" applyFont="1" applyFill="1" applyBorder="1" applyAlignment="1" applyProtection="1">
      <alignment vertical="center" wrapText="1"/>
      <protection hidden="1"/>
    </xf>
    <xf numFmtId="0" fontId="22" fillId="3" borderId="2" xfId="0" applyNumberFormat="1" applyFont="1" applyFill="1" applyBorder="1" applyAlignment="1" applyProtection="1">
      <alignment vertical="center" wrapText="1"/>
      <protection hidden="1"/>
    </xf>
    <xf numFmtId="0" fontId="22" fillId="3" borderId="3" xfId="0" applyNumberFormat="1" applyFont="1" applyFill="1" applyBorder="1" applyAlignment="1" applyProtection="1">
      <alignment vertical="center" wrapText="1"/>
      <protection hidden="1"/>
    </xf>
    <xf numFmtId="0" fontId="17" fillId="3" borderId="4" xfId="0" applyNumberFormat="1" applyFont="1" applyFill="1" applyBorder="1" applyAlignment="1" applyProtection="1">
      <protection hidden="1"/>
    </xf>
    <xf numFmtId="0" fontId="17" fillId="3" borderId="1" xfId="0" applyNumberFormat="1" applyFont="1" applyFill="1" applyBorder="1" applyAlignment="1" applyProtection="1">
      <protection hidden="1"/>
    </xf>
    <xf numFmtId="0" fontId="17" fillId="3" borderId="5" xfId="0" applyNumberFormat="1" applyFont="1" applyFill="1" applyBorder="1" applyAlignment="1" applyProtection="1">
      <protection hidden="1"/>
    </xf>
    <xf numFmtId="0" fontId="2" fillId="3" borderId="4" xfId="0" applyNumberFormat="1" applyFont="1" applyFill="1" applyBorder="1" applyProtection="1">
      <protection hidden="1"/>
    </xf>
    <xf numFmtId="0" fontId="2" fillId="3" borderId="1" xfId="0" applyNumberFormat="1" applyFont="1" applyFill="1" applyBorder="1" applyProtection="1">
      <protection hidden="1"/>
    </xf>
    <xf numFmtId="0" fontId="2" fillId="3" borderId="5" xfId="0" applyNumberFormat="1" applyFont="1" applyFill="1" applyBorder="1" applyProtection="1">
      <protection hidden="1"/>
    </xf>
    <xf numFmtId="0" fontId="24" fillId="3" borderId="3" xfId="0" applyNumberFormat="1" applyFont="1" applyFill="1" applyBorder="1" applyAlignment="1" applyProtection="1">
      <alignment horizontal="center"/>
      <protection hidden="1"/>
    </xf>
    <xf numFmtId="0" fontId="24" fillId="3" borderId="0" xfId="0" applyNumberFormat="1" applyFont="1" applyFill="1" applyBorder="1" applyAlignment="1" applyProtection="1">
      <alignment horizontal="center"/>
      <protection hidden="1"/>
    </xf>
    <xf numFmtId="0" fontId="24" fillId="3" borderId="2" xfId="0" applyNumberFormat="1" applyFont="1" applyFill="1" applyBorder="1" applyAlignment="1" applyProtection="1">
      <alignment horizontal="center"/>
      <protection hidden="1"/>
    </xf>
    <xf numFmtId="0" fontId="24" fillId="3" borderId="4" xfId="0" applyNumberFormat="1" applyFont="1" applyFill="1" applyBorder="1" applyAlignment="1" applyProtection="1">
      <alignment horizontal="center"/>
      <protection hidden="1"/>
    </xf>
    <xf numFmtId="0" fontId="24" fillId="3" borderId="1" xfId="0" applyNumberFormat="1" applyFont="1" applyFill="1" applyBorder="1" applyAlignment="1" applyProtection="1">
      <alignment horizontal="center"/>
      <protection hidden="1"/>
    </xf>
    <xf numFmtId="0" fontId="24" fillId="3" borderId="5" xfId="0" applyNumberFormat="1" applyFont="1" applyFill="1" applyBorder="1" applyAlignment="1" applyProtection="1">
      <alignment horizontal="center"/>
      <protection hidden="1"/>
    </xf>
    <xf numFmtId="0" fontId="2" fillId="3" borderId="4" xfId="0" applyNumberFormat="1" applyFont="1" applyFill="1" applyBorder="1" applyAlignment="1" applyProtection="1">
      <protection hidden="1"/>
    </xf>
    <xf numFmtId="0" fontId="2" fillId="3" borderId="1" xfId="0" applyNumberFormat="1" applyFont="1" applyFill="1" applyBorder="1" applyAlignment="1" applyProtection="1">
      <protection hidden="1"/>
    </xf>
    <xf numFmtId="0" fontId="2" fillId="3" borderId="1" xfId="0" applyNumberFormat="1" applyFont="1" applyFill="1" applyBorder="1" applyAlignment="1" applyProtection="1">
      <alignment vertical="center"/>
      <protection hidden="1"/>
    </xf>
    <xf numFmtId="0" fontId="2" fillId="3" borderId="5" xfId="0" applyNumberFormat="1" applyFont="1" applyFill="1" applyBorder="1" applyAlignment="1" applyProtection="1">
      <protection hidden="1"/>
    </xf>
    <xf numFmtId="0" fontId="2" fillId="0" borderId="0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NumberFormat="1" applyFont="1" applyBorder="1" applyAlignment="1" applyProtection="1">
      <alignment vertical="top" wrapText="1"/>
      <protection hidden="1"/>
    </xf>
    <xf numFmtId="0" fontId="8" fillId="0" borderId="0" xfId="0" applyNumberFormat="1" applyFont="1" applyFill="1" applyBorder="1" applyAlignment="1" applyProtection="1">
      <alignment horizontal="left"/>
      <protection hidden="1"/>
    </xf>
    <xf numFmtId="0" fontId="4" fillId="0" borderId="0" xfId="0" applyNumberFormat="1" applyFont="1" applyFill="1" applyBorder="1" applyAlignment="1" applyProtection="1">
      <alignment horizontal="left" vertical="center"/>
      <protection hidden="1"/>
    </xf>
    <xf numFmtId="0" fontId="4" fillId="0" borderId="0" xfId="0" applyNumberFormat="1" applyFont="1" applyFill="1" applyBorder="1" applyAlignment="1" applyProtection="1">
      <protection hidden="1"/>
    </xf>
    <xf numFmtId="0" fontId="4" fillId="3" borderId="0" xfId="0" applyNumberFormat="1" applyFont="1" applyFill="1" applyBorder="1" applyAlignment="1" applyProtection="1">
      <alignment horizontal="left" vertical="top"/>
      <protection hidden="1"/>
    </xf>
    <xf numFmtId="164" fontId="25" fillId="3" borderId="0" xfId="0" applyNumberFormat="1" applyFont="1" applyFill="1" applyBorder="1" applyProtection="1">
      <protection hidden="1"/>
    </xf>
    <xf numFmtId="164" fontId="26" fillId="3" borderId="2" xfId="0" applyNumberFormat="1" applyFont="1" applyFill="1" applyBorder="1" applyAlignment="1" applyProtection="1">
      <alignment vertical="center"/>
      <protection hidden="1"/>
    </xf>
    <xf numFmtId="164" fontId="26" fillId="3" borderId="0" xfId="0" applyNumberFormat="1" applyFont="1" applyFill="1" applyBorder="1" applyAlignment="1" applyProtection="1">
      <alignment vertical="center"/>
      <protection hidden="1"/>
    </xf>
    <xf numFmtId="164" fontId="26" fillId="3" borderId="0" xfId="0" applyNumberFormat="1" applyFont="1" applyFill="1" applyBorder="1" applyAlignment="1" applyProtection="1">
      <alignment horizontal="left" vertical="center"/>
      <protection hidden="1"/>
    </xf>
    <xf numFmtId="164" fontId="25" fillId="3" borderId="2" xfId="0" applyNumberFormat="1" applyFont="1" applyFill="1" applyBorder="1" applyProtection="1">
      <protection hidden="1"/>
    </xf>
    <xf numFmtId="164" fontId="25" fillId="3" borderId="0" xfId="0" applyNumberFormat="1" applyFont="1" applyFill="1" applyBorder="1" applyAlignment="1" applyProtection="1">
      <protection hidden="1"/>
    </xf>
    <xf numFmtId="0" fontId="27" fillId="3" borderId="3" xfId="0" applyNumberFormat="1" applyFont="1" applyFill="1" applyBorder="1" applyAlignment="1" applyProtection="1">
      <protection hidden="1"/>
    </xf>
    <xf numFmtId="0" fontId="27" fillId="3" borderId="0" xfId="0" applyNumberFormat="1" applyFont="1" applyFill="1" applyBorder="1" applyAlignment="1" applyProtection="1">
      <protection hidden="1"/>
    </xf>
    <xf numFmtId="0" fontId="27" fillId="3" borderId="0" xfId="0" applyNumberFormat="1" applyFont="1" applyFill="1" applyBorder="1" applyProtection="1">
      <protection hidden="1"/>
    </xf>
    <xf numFmtId="0" fontId="28" fillId="3" borderId="0" xfId="0" applyNumberFormat="1" applyFont="1" applyFill="1" applyBorder="1" applyAlignment="1" applyProtection="1">
      <alignment horizontal="right"/>
      <protection hidden="1"/>
    </xf>
    <xf numFmtId="0" fontId="27" fillId="3" borderId="0" xfId="0" applyNumberFormat="1" applyFont="1" applyFill="1" applyBorder="1" applyAlignment="1" applyProtection="1">
      <alignment vertical="center"/>
      <protection hidden="1"/>
    </xf>
    <xf numFmtId="0" fontId="27" fillId="3" borderId="0" xfId="0" applyNumberFormat="1" applyFont="1" applyFill="1" applyBorder="1" applyAlignment="1" applyProtection="1">
      <alignment horizontal="left" vertical="center"/>
      <protection hidden="1"/>
    </xf>
    <xf numFmtId="0" fontId="27" fillId="3" borderId="2" xfId="0" applyNumberFormat="1" applyFont="1" applyFill="1" applyBorder="1" applyAlignment="1" applyProtection="1">
      <protection hidden="1"/>
    </xf>
    <xf numFmtId="0" fontId="31" fillId="3" borderId="0" xfId="0" applyNumberFormat="1" applyFont="1" applyFill="1" applyBorder="1" applyAlignment="1" applyProtection="1">
      <protection hidden="1"/>
    </xf>
    <xf numFmtId="0" fontId="27" fillId="3" borderId="0" xfId="0" applyNumberFormat="1" applyFont="1" applyFill="1" applyBorder="1" applyAlignment="1" applyProtection="1">
      <alignment horizontal="left"/>
      <protection hidden="1"/>
    </xf>
    <xf numFmtId="0" fontId="30" fillId="3" borderId="0" xfId="0" applyNumberFormat="1" applyFont="1" applyFill="1" applyBorder="1" applyAlignment="1" applyProtection="1">
      <alignment horizontal="center"/>
      <protection hidden="1"/>
    </xf>
    <xf numFmtId="0" fontId="31" fillId="3" borderId="0" xfId="0" applyNumberFormat="1" applyFont="1" applyFill="1" applyBorder="1" applyAlignment="1" applyProtection="1">
      <alignment vertical="center"/>
      <protection hidden="1"/>
    </xf>
    <xf numFmtId="0" fontId="27" fillId="3" borderId="0" xfId="0" applyNumberFormat="1" applyFont="1" applyFill="1" applyBorder="1" applyAlignment="1" applyProtection="1">
      <alignment horizontal="right" vertical="center"/>
      <protection hidden="1"/>
    </xf>
    <xf numFmtId="0" fontId="31" fillId="3" borderId="0" xfId="0" applyNumberFormat="1" applyFont="1" applyFill="1" applyBorder="1" applyAlignment="1" applyProtection="1">
      <alignment vertical="top"/>
      <protection hidden="1"/>
    </xf>
    <xf numFmtId="0" fontId="27" fillId="3" borderId="0" xfId="0" applyNumberFormat="1" applyFont="1" applyFill="1" applyBorder="1" applyAlignment="1" applyProtection="1">
      <alignment horizontal="center"/>
      <protection hidden="1"/>
    </xf>
    <xf numFmtId="0" fontId="27" fillId="3" borderId="2" xfId="0" applyNumberFormat="1" applyFont="1" applyFill="1" applyBorder="1" applyProtection="1">
      <protection hidden="1"/>
    </xf>
    <xf numFmtId="0" fontId="27" fillId="3" borderId="13" xfId="0" applyNumberFormat="1" applyFont="1" applyFill="1" applyBorder="1" applyAlignment="1" applyProtection="1">
      <protection hidden="1"/>
    </xf>
    <xf numFmtId="0" fontId="28" fillId="3" borderId="13" xfId="0" applyNumberFormat="1" applyFont="1" applyFill="1" applyBorder="1" applyAlignment="1" applyProtection="1">
      <alignment horizontal="right"/>
      <protection hidden="1"/>
    </xf>
    <xf numFmtId="0" fontId="27" fillId="3" borderId="0" xfId="0" applyNumberFormat="1" applyFont="1" applyFill="1" applyBorder="1" applyAlignment="1" applyProtection="1">
      <alignment horizontal="right" vertical="top" wrapText="1"/>
      <protection hidden="1"/>
    </xf>
    <xf numFmtId="0" fontId="27" fillId="3" borderId="0" xfId="0" applyNumberFormat="1" applyFont="1" applyFill="1" applyBorder="1" applyAlignment="1" applyProtection="1">
      <alignment horizontal="left" vertical="top"/>
      <protection hidden="1"/>
    </xf>
    <xf numFmtId="0" fontId="27" fillId="3" borderId="0" xfId="0" applyNumberFormat="1" applyFont="1" applyFill="1" applyBorder="1" applyAlignment="1" applyProtection="1">
      <alignment vertical="top"/>
      <protection hidden="1"/>
    </xf>
    <xf numFmtId="0" fontId="2" fillId="0" borderId="14" xfId="0" applyNumberFormat="1" applyFont="1" applyBorder="1" applyAlignment="1" applyProtection="1">
      <alignment horizontal="left"/>
      <protection locked="0"/>
    </xf>
    <xf numFmtId="0" fontId="2" fillId="0" borderId="15" xfId="0" applyNumberFormat="1" applyFont="1" applyBorder="1" applyAlignment="1" applyProtection="1">
      <alignment horizontal="left"/>
      <protection locked="0"/>
    </xf>
    <xf numFmtId="0" fontId="2" fillId="0" borderId="16" xfId="0" applyNumberFormat="1" applyFont="1" applyBorder="1" applyAlignment="1" applyProtection="1">
      <alignment horizontal="left"/>
      <protection locked="0"/>
    </xf>
    <xf numFmtId="0" fontId="2" fillId="0" borderId="17" xfId="0" applyNumberFormat="1" applyFont="1" applyBorder="1" applyAlignment="1" applyProtection="1">
      <alignment horizontal="left"/>
      <protection locked="0"/>
    </xf>
    <xf numFmtId="0" fontId="2" fillId="0" borderId="18" xfId="0" applyNumberFormat="1" applyFont="1" applyBorder="1" applyAlignment="1" applyProtection="1">
      <alignment horizontal="left"/>
      <protection locked="0"/>
    </xf>
    <xf numFmtId="0" fontId="2" fillId="0" borderId="19" xfId="0" applyNumberFormat="1" applyFont="1" applyBorder="1" applyAlignment="1" applyProtection="1">
      <alignment horizontal="left"/>
      <protection locked="0"/>
    </xf>
    <xf numFmtId="0" fontId="2" fillId="0" borderId="18" xfId="3" applyNumberFormat="1" applyFont="1" applyFill="1" applyBorder="1" applyAlignment="1" applyProtection="1">
      <alignment horizontal="left"/>
      <protection locked="0"/>
    </xf>
    <xf numFmtId="0" fontId="2" fillId="0" borderId="17" xfId="0" applyNumberFormat="1" applyFont="1" applyFill="1" applyBorder="1" applyAlignment="1" applyProtection="1">
      <protection locked="0"/>
    </xf>
    <xf numFmtId="0" fontId="2" fillId="0" borderId="18" xfId="0" applyNumberFormat="1" applyFont="1" applyFill="1" applyBorder="1" applyAlignment="1" applyProtection="1">
      <protection locked="0"/>
    </xf>
    <xf numFmtId="0" fontId="2" fillId="0" borderId="19" xfId="0" applyNumberFormat="1" applyFont="1" applyFill="1" applyBorder="1" applyAlignment="1" applyProtection="1">
      <protection locked="0"/>
    </xf>
    <xf numFmtId="0" fontId="2" fillId="0" borderId="22" xfId="0" applyNumberFormat="1" applyFont="1" applyFill="1" applyBorder="1" applyAlignment="1" applyProtection="1">
      <protection locked="0"/>
    </xf>
    <xf numFmtId="0" fontId="2" fillId="0" borderId="23" xfId="0" applyNumberFormat="1" applyFont="1" applyFill="1" applyBorder="1" applyAlignment="1" applyProtection="1">
      <protection locked="0"/>
    </xf>
    <xf numFmtId="0" fontId="2" fillId="0" borderId="24" xfId="0" applyNumberFormat="1" applyFont="1" applyFill="1" applyBorder="1" applyAlignment="1" applyProtection="1">
      <protection locked="0"/>
    </xf>
    <xf numFmtId="0" fontId="2" fillId="3" borderId="0" xfId="0" applyNumberFormat="1" applyFont="1" applyFill="1" applyBorder="1" applyAlignment="1" applyProtection="1">
      <alignment horizontal="left" vertical="top"/>
      <protection hidden="1"/>
    </xf>
    <xf numFmtId="0" fontId="34" fillId="3" borderId="3" xfId="0" applyNumberFormat="1" applyFont="1" applyFill="1" applyBorder="1" applyProtection="1">
      <protection hidden="1"/>
    </xf>
    <xf numFmtId="0" fontId="34" fillId="3" borderId="0" xfId="0" applyNumberFormat="1" applyFont="1" applyFill="1" applyBorder="1" applyProtection="1">
      <protection hidden="1"/>
    </xf>
    <xf numFmtId="0" fontId="34" fillId="3" borderId="2" xfId="0" applyNumberFormat="1" applyFont="1" applyFill="1" applyBorder="1" applyProtection="1">
      <protection hidden="1"/>
    </xf>
    <xf numFmtId="164" fontId="25" fillId="3" borderId="3" xfId="0" applyNumberFormat="1" applyFont="1" applyFill="1" applyBorder="1" applyProtection="1">
      <protection hidden="1"/>
    </xf>
    <xf numFmtId="164" fontId="41" fillId="3" borderId="0" xfId="0" applyNumberFormat="1" applyFont="1" applyFill="1" applyBorder="1" applyAlignment="1" applyProtection="1">
      <alignment vertical="center"/>
      <protection hidden="1"/>
    </xf>
    <xf numFmtId="164" fontId="41" fillId="3" borderId="0" xfId="0" applyNumberFormat="1" applyFont="1" applyFill="1" applyBorder="1" applyAlignment="1" applyProtection="1">
      <alignment horizontal="right" vertical="center"/>
      <protection hidden="1"/>
    </xf>
    <xf numFmtId="164" fontId="25" fillId="3" borderId="0" xfId="0" applyNumberFormat="1" applyFont="1" applyFill="1" applyBorder="1" applyAlignment="1" applyProtection="1">
      <alignment horizontal="left"/>
      <protection hidden="1"/>
    </xf>
    <xf numFmtId="164" fontId="25" fillId="3" borderId="3" xfId="0" applyNumberFormat="1" applyFont="1" applyFill="1" applyBorder="1" applyAlignment="1" applyProtection="1">
      <alignment horizontal="right"/>
      <protection hidden="1"/>
    </xf>
    <xf numFmtId="164" fontId="26" fillId="3" borderId="0" xfId="0" applyNumberFormat="1" applyFont="1" applyFill="1" applyBorder="1" applyAlignment="1" applyProtection="1">
      <alignment horizontal="right" vertical="center"/>
      <protection hidden="1"/>
    </xf>
    <xf numFmtId="164" fontId="40" fillId="0" borderId="0" xfId="0" applyNumberFormat="1" applyFont="1" applyFill="1" applyBorder="1" applyProtection="1">
      <protection hidden="1"/>
    </xf>
    <xf numFmtId="164" fontId="43" fillId="0" borderId="0" xfId="0" applyNumberFormat="1" applyFont="1" applyFill="1" applyBorder="1" applyAlignment="1" applyProtection="1">
      <alignment horizontal="center"/>
      <protection hidden="1"/>
    </xf>
    <xf numFmtId="164" fontId="43" fillId="0" borderId="0" xfId="0" applyNumberFormat="1" applyFont="1" applyFill="1" applyBorder="1" applyAlignment="1" applyProtection="1">
      <alignment horizontal="center" vertical="center"/>
      <protection hidden="1"/>
    </xf>
    <xf numFmtId="164" fontId="39" fillId="0" borderId="0" xfId="0" applyNumberFormat="1" applyFont="1" applyFill="1" applyBorder="1" applyAlignment="1" applyProtection="1">
      <alignment horizontal="left"/>
      <protection hidden="1"/>
    </xf>
    <xf numFmtId="164" fontId="39" fillId="0" borderId="0" xfId="0" applyNumberFormat="1" applyFont="1" applyFill="1" applyBorder="1" applyProtection="1">
      <protection hidden="1"/>
    </xf>
    <xf numFmtId="164" fontId="40" fillId="0" borderId="0" xfId="0" applyNumberFormat="1" applyFont="1" applyFill="1" applyBorder="1" applyAlignment="1" applyProtection="1">
      <alignment horizontal="left"/>
      <protection hidden="1"/>
    </xf>
    <xf numFmtId="164" fontId="40" fillId="0" borderId="0" xfId="0" applyNumberFormat="1" applyFont="1" applyFill="1" applyBorder="1" applyAlignment="1" applyProtection="1">
      <protection hidden="1"/>
    </xf>
    <xf numFmtId="164" fontId="40" fillId="0" borderId="0" xfId="0" applyNumberFormat="1" applyFont="1" applyFill="1" applyProtection="1">
      <protection hidden="1"/>
    </xf>
    <xf numFmtId="164" fontId="40" fillId="0" borderId="0" xfId="0" applyNumberFormat="1" applyFont="1" applyProtection="1">
      <protection hidden="1"/>
    </xf>
    <xf numFmtId="164" fontId="40" fillId="0" borderId="0" xfId="0" applyNumberFormat="1" applyFont="1" applyAlignment="1" applyProtection="1">
      <alignment horizontal="left"/>
      <protection hidden="1"/>
    </xf>
    <xf numFmtId="164" fontId="39" fillId="0" borderId="0" xfId="0" applyNumberFormat="1" applyFont="1" applyProtection="1">
      <protection hidden="1"/>
    </xf>
    <xf numFmtId="164" fontId="44" fillId="0" borderId="0" xfId="0" applyNumberFormat="1" applyFont="1" applyFill="1" applyBorder="1" applyAlignment="1" applyProtection="1">
      <alignment vertical="top" wrapText="1"/>
      <protection hidden="1"/>
    </xf>
    <xf numFmtId="164" fontId="44" fillId="0" borderId="0" xfId="0" applyNumberFormat="1" applyFont="1" applyFill="1" applyBorder="1" applyAlignment="1" applyProtection="1">
      <alignment horizontal="left" vertical="top" wrapText="1"/>
      <protection hidden="1"/>
    </xf>
    <xf numFmtId="164" fontId="45" fillId="0" borderId="0" xfId="0" applyNumberFormat="1" applyFont="1" applyFill="1" applyBorder="1" applyAlignment="1" applyProtection="1">
      <alignment horizontal="left" vertical="top" wrapText="1"/>
      <protection hidden="1"/>
    </xf>
    <xf numFmtId="164" fontId="39" fillId="0" borderId="0" xfId="0" applyNumberFormat="1" applyFont="1" applyFill="1" applyProtection="1">
      <protection hidden="1"/>
    </xf>
    <xf numFmtId="164" fontId="40" fillId="0" borderId="0" xfId="0" applyNumberFormat="1" applyFont="1" applyFill="1" applyAlignment="1" applyProtection="1">
      <alignment horizontal="left"/>
      <protection hidden="1"/>
    </xf>
    <xf numFmtId="164" fontId="40" fillId="0" borderId="0" xfId="0" applyNumberFormat="1" applyFont="1" applyBorder="1" applyProtection="1">
      <protection hidden="1"/>
    </xf>
    <xf numFmtId="0" fontId="28" fillId="3" borderId="0" xfId="0" applyNumberFormat="1" applyFont="1" applyFill="1" applyBorder="1" applyAlignment="1" applyProtection="1">
      <alignment horizontal="left"/>
      <protection hidden="1"/>
    </xf>
    <xf numFmtId="0" fontId="2" fillId="0" borderId="18" xfId="0" applyNumberFormat="1" applyFont="1" applyFill="1" applyBorder="1" applyAlignment="1" applyProtection="1">
      <alignment horizontal="left"/>
      <protection locked="0"/>
    </xf>
    <xf numFmtId="2" fontId="27" fillId="3" borderId="0" xfId="0" applyNumberFormat="1" applyFont="1" applyFill="1" applyBorder="1" applyAlignment="1" applyProtection="1">
      <alignment horizontal="right"/>
      <protection hidden="1"/>
    </xf>
    <xf numFmtId="2" fontId="2" fillId="3" borderId="0" xfId="0" applyNumberFormat="1" applyFont="1" applyFill="1" applyBorder="1" applyAlignment="1" applyProtection="1">
      <alignment horizontal="right"/>
      <protection hidden="1"/>
    </xf>
    <xf numFmtId="0" fontId="27" fillId="3" borderId="0" xfId="0" applyNumberFormat="1" applyFont="1" applyFill="1" applyBorder="1" applyAlignment="1" applyProtection="1">
      <alignment horizontal="right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0" fontId="4" fillId="3" borderId="0" xfId="0" applyNumberFormat="1" applyFont="1" applyFill="1" applyBorder="1" applyAlignment="1" applyProtection="1">
      <alignment horizontal="left"/>
      <protection hidden="1"/>
    </xf>
    <xf numFmtId="0" fontId="3" fillId="3" borderId="0" xfId="0" applyNumberFormat="1" applyFont="1" applyFill="1" applyBorder="1" applyAlignment="1" applyProtection="1">
      <alignment horizontal="left"/>
      <protection hidden="1"/>
    </xf>
    <xf numFmtId="0" fontId="2" fillId="3" borderId="0" xfId="0" applyNumberFormat="1" applyFont="1" applyFill="1" applyBorder="1" applyAlignment="1" applyProtection="1">
      <alignment horizontal="right"/>
      <protection hidden="1"/>
    </xf>
    <xf numFmtId="2" fontId="2" fillId="3" borderId="0" xfId="1" applyNumberFormat="1" applyFont="1" applyFill="1" applyBorder="1" applyAlignment="1" applyProtection="1">
      <alignment horizontal="right" vertical="center"/>
      <protection hidden="1"/>
    </xf>
    <xf numFmtId="0" fontId="2" fillId="3" borderId="0" xfId="1" applyNumberFormat="1" applyFont="1" applyFill="1" applyBorder="1" applyAlignment="1" applyProtection="1">
      <alignment horizontal="right"/>
      <protection hidden="1"/>
    </xf>
    <xf numFmtId="0" fontId="2" fillId="0" borderId="19" xfId="0" applyNumberFormat="1" applyFont="1" applyFill="1" applyBorder="1" applyAlignment="1" applyProtection="1">
      <alignment horizontal="left"/>
      <protection locked="0"/>
    </xf>
    <xf numFmtId="0" fontId="2" fillId="0" borderId="17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NumberFormat="1" applyFont="1" applyFill="1" applyBorder="1" applyAlignment="1" applyProtection="1">
      <alignment horizontal="center" wrapText="1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3" fillId="3" borderId="0" xfId="0" applyNumberFormat="1" applyFont="1" applyFill="1" applyBorder="1" applyAlignment="1" applyProtection="1">
      <alignment horizontal="right" wrapText="1"/>
      <protection hidden="1"/>
    </xf>
    <xf numFmtId="0" fontId="3" fillId="3" borderId="0" xfId="0" applyNumberFormat="1" applyFont="1" applyFill="1" applyBorder="1" applyAlignment="1" applyProtection="1">
      <alignment horizontal="right" vertical="center"/>
      <protection hidden="1"/>
    </xf>
    <xf numFmtId="0" fontId="3" fillId="3" borderId="0" xfId="0" applyNumberFormat="1" applyFont="1" applyFill="1" applyBorder="1" applyAlignment="1" applyProtection="1">
      <alignment horizontal="right" vertical="center" wrapText="1"/>
      <protection hidden="1"/>
    </xf>
    <xf numFmtId="0" fontId="22" fillId="3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2" fontId="2" fillId="3" borderId="0" xfId="0" applyNumberFormat="1" applyFont="1" applyFill="1" applyBorder="1" applyAlignment="1" applyProtection="1">
      <alignment horizontal="right" vertical="top"/>
      <protection hidden="1"/>
    </xf>
    <xf numFmtId="2" fontId="27" fillId="3" borderId="0" xfId="0" applyNumberFormat="1" applyFont="1" applyFill="1" applyBorder="1" applyAlignment="1" applyProtection="1">
      <alignment horizontal="right" vertical="top" wrapText="1"/>
      <protection hidden="1"/>
    </xf>
    <xf numFmtId="2" fontId="2" fillId="3" borderId="0" xfId="0" applyNumberFormat="1" applyFont="1" applyFill="1" applyBorder="1" applyProtection="1">
      <protection hidden="1"/>
    </xf>
    <xf numFmtId="164" fontId="33" fillId="0" borderId="0" xfId="0" applyNumberFormat="1" applyFont="1" applyFill="1" applyBorder="1" applyAlignment="1" applyProtection="1">
      <alignment vertical="center"/>
      <protection hidden="1"/>
    </xf>
    <xf numFmtId="164" fontId="40" fillId="0" borderId="0" xfId="0" applyNumberFormat="1" applyFont="1" applyFill="1" applyBorder="1" applyAlignment="1" applyProtection="1">
      <alignment wrapText="1"/>
      <protection hidden="1"/>
    </xf>
    <xf numFmtId="164" fontId="40" fillId="0" borderId="0" xfId="0" applyNumberFormat="1" applyFont="1" applyFill="1" applyBorder="1" applyAlignment="1" applyProtection="1">
      <alignment vertical="center"/>
      <protection hidden="1"/>
    </xf>
    <xf numFmtId="164" fontId="46" fillId="0" borderId="0" xfId="0" applyNumberFormat="1" applyFont="1" applyFill="1" applyBorder="1" applyAlignment="1" applyProtection="1">
      <alignment vertical="center" wrapText="1"/>
      <protection hidden="1"/>
    </xf>
    <xf numFmtId="164" fontId="47" fillId="0" borderId="0" xfId="0" applyNumberFormat="1" applyFont="1" applyFill="1" applyBorder="1" applyAlignment="1" applyProtection="1">
      <protection hidden="1"/>
    </xf>
    <xf numFmtId="164" fontId="39" fillId="0" borderId="0" xfId="0" applyNumberFormat="1" applyFont="1" applyFill="1" applyBorder="1" applyAlignment="1" applyProtection="1">
      <alignment horizontal="center"/>
      <protection hidden="1"/>
    </xf>
    <xf numFmtId="164" fontId="39" fillId="0" borderId="0" xfId="0" applyNumberFormat="1" applyFont="1" applyFill="1" applyBorder="1" applyAlignment="1" applyProtection="1">
      <alignment horizontal="center" wrapText="1"/>
      <protection hidden="1"/>
    </xf>
    <xf numFmtId="164" fontId="48" fillId="0" borderId="0" xfId="0" applyNumberFormat="1" applyFont="1" applyFill="1" applyBorder="1" applyAlignment="1" applyProtection="1">
      <alignment horizontal="center" wrapText="1"/>
      <protection hidden="1"/>
    </xf>
    <xf numFmtId="164" fontId="40" fillId="0" borderId="0" xfId="0" applyNumberFormat="1" applyFont="1" applyFill="1" applyBorder="1" applyAlignment="1" applyProtection="1">
      <alignment horizontal="center"/>
      <protection hidden="1"/>
    </xf>
    <xf numFmtId="164" fontId="46" fillId="0" borderId="0" xfId="0" applyNumberFormat="1" applyFont="1" applyFill="1" applyBorder="1" applyAlignment="1" applyProtection="1">
      <protection hidden="1"/>
    </xf>
    <xf numFmtId="164" fontId="49" fillId="0" borderId="0" xfId="0" applyNumberFormat="1" applyFont="1" applyFill="1" applyBorder="1" applyAlignment="1" applyProtection="1">
      <alignment vertical="center" wrapText="1"/>
      <protection hidden="1"/>
    </xf>
    <xf numFmtId="164" fontId="50" fillId="0" borderId="0" xfId="0" applyNumberFormat="1" applyFont="1" applyFill="1" applyBorder="1" applyAlignment="1" applyProtection="1">
      <alignment vertical="center" wrapText="1"/>
      <protection hidden="1"/>
    </xf>
    <xf numFmtId="164" fontId="53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46" fillId="0" borderId="0" xfId="0" applyNumberFormat="1" applyFont="1" applyFill="1" applyBorder="1" applyAlignment="1" applyProtection="1">
      <alignment horizontal="center"/>
      <protection hidden="1"/>
    </xf>
    <xf numFmtId="164" fontId="46" fillId="0" borderId="0" xfId="0" applyNumberFormat="1" applyFont="1" applyFill="1" applyBorder="1" applyAlignment="1" applyProtection="1">
      <alignment horizontal="center" vertical="center"/>
      <protection hidden="1"/>
    </xf>
    <xf numFmtId="164" fontId="54" fillId="0" borderId="0" xfId="0" applyNumberFormat="1" applyFont="1" applyFill="1" applyBorder="1" applyAlignment="1" applyProtection="1">
      <alignment horizontal="center" vertical="center"/>
      <protection hidden="1"/>
    </xf>
    <xf numFmtId="164" fontId="43" fillId="0" borderId="0" xfId="0" applyNumberFormat="1" applyFont="1" applyFill="1" applyBorder="1" applyAlignment="1" applyProtection="1">
      <alignment wrapText="1"/>
      <protection hidden="1"/>
    </xf>
    <xf numFmtId="164" fontId="39" fillId="0" borderId="0" xfId="0" applyNumberFormat="1" applyFont="1" applyFill="1" applyBorder="1" applyAlignment="1" applyProtection="1">
      <alignment wrapText="1"/>
      <protection hidden="1"/>
    </xf>
    <xf numFmtId="164" fontId="51" fillId="0" borderId="0" xfId="0" applyNumberFormat="1" applyFont="1" applyFill="1" applyBorder="1" applyAlignment="1" applyProtection="1">
      <alignment horizontal="left"/>
      <protection hidden="1"/>
    </xf>
    <xf numFmtId="164" fontId="51" fillId="0" borderId="0" xfId="0" applyNumberFormat="1" applyFont="1" applyFill="1" applyBorder="1" applyAlignment="1" applyProtection="1">
      <alignment horizontal="center"/>
      <protection hidden="1"/>
    </xf>
    <xf numFmtId="164" fontId="51" fillId="0" borderId="0" xfId="0" applyNumberFormat="1" applyFont="1" applyFill="1" applyBorder="1" applyAlignment="1" applyProtection="1">
      <alignment horizontal="left" vertical="center"/>
      <protection hidden="1"/>
    </xf>
    <xf numFmtId="164" fontId="52" fillId="0" borderId="0" xfId="0" applyNumberFormat="1" applyFont="1" applyFill="1" applyBorder="1" applyAlignment="1" applyProtection="1">
      <alignment horizontal="center" vertical="center"/>
      <protection hidden="1"/>
    </xf>
    <xf numFmtId="164" fontId="49" fillId="0" borderId="0" xfId="0" applyNumberFormat="1" applyFont="1" applyFill="1" applyBorder="1" applyAlignment="1" applyProtection="1">
      <alignment vertical="center"/>
      <protection hidden="1"/>
    </xf>
    <xf numFmtId="164" fontId="36" fillId="0" borderId="0" xfId="0" applyNumberFormat="1" applyFont="1" applyFill="1" applyBorder="1" applyAlignment="1" applyProtection="1">
      <alignment vertical="center"/>
      <protection hidden="1"/>
    </xf>
    <xf numFmtId="164" fontId="55" fillId="0" borderId="0" xfId="0" applyNumberFormat="1" applyFont="1" applyFill="1" applyBorder="1" applyAlignment="1" applyProtection="1">
      <alignment wrapText="1"/>
      <protection hidden="1"/>
    </xf>
    <xf numFmtId="164" fontId="51" fillId="0" borderId="0" xfId="0" applyNumberFormat="1" applyFont="1" applyFill="1" applyBorder="1" applyAlignment="1" applyProtection="1">
      <alignment horizontal="center" vertical="center"/>
      <protection hidden="1"/>
    </xf>
    <xf numFmtId="164" fontId="56" fillId="0" borderId="0" xfId="0" applyNumberFormat="1" applyFont="1" applyFill="1" applyBorder="1" applyAlignment="1" applyProtection="1">
      <alignment wrapText="1"/>
      <protection hidden="1"/>
    </xf>
    <xf numFmtId="164" fontId="54" fillId="0" borderId="0" xfId="0" applyNumberFormat="1" applyFont="1" applyFill="1" applyBorder="1" applyProtection="1">
      <protection hidden="1"/>
    </xf>
    <xf numFmtId="164" fontId="51" fillId="0" borderId="0" xfId="0" applyNumberFormat="1" applyFont="1" applyFill="1" applyBorder="1" applyAlignment="1" applyProtection="1">
      <alignment vertical="center"/>
      <protection hidden="1"/>
    </xf>
    <xf numFmtId="164" fontId="53" fillId="0" borderId="0" xfId="0" applyNumberFormat="1" applyFont="1" applyFill="1" applyBorder="1" applyProtection="1">
      <protection hidden="1"/>
    </xf>
    <xf numFmtId="164" fontId="56" fillId="0" borderId="0" xfId="0" applyNumberFormat="1" applyFont="1" applyFill="1" applyBorder="1" applyAlignment="1" applyProtection="1">
      <protection hidden="1"/>
    </xf>
    <xf numFmtId="164" fontId="56" fillId="0" borderId="0" xfId="0" applyNumberFormat="1" applyFont="1" applyFill="1" applyBorder="1" applyAlignment="1" applyProtection="1">
      <alignment vertical="center" wrapText="1"/>
      <protection hidden="1"/>
    </xf>
    <xf numFmtId="164" fontId="51" fillId="0" borderId="0" xfId="0" applyNumberFormat="1" applyFont="1" applyFill="1" applyBorder="1" applyProtection="1">
      <protection hidden="1"/>
    </xf>
    <xf numFmtId="164" fontId="53" fillId="0" borderId="0" xfId="0" applyNumberFormat="1" applyFont="1" applyFill="1" applyBorder="1" applyAlignment="1" applyProtection="1">
      <alignment horizontal="left"/>
      <protection hidden="1"/>
    </xf>
    <xf numFmtId="164" fontId="53" fillId="0" borderId="0" xfId="0" applyNumberFormat="1" applyFont="1" applyFill="1" applyBorder="1" applyAlignment="1" applyProtection="1">
      <alignment vertical="center" wrapText="1"/>
      <protection hidden="1"/>
    </xf>
    <xf numFmtId="164" fontId="56" fillId="0" borderId="0" xfId="0" applyNumberFormat="1" applyFont="1" applyFill="1" applyBorder="1" applyAlignment="1" applyProtection="1">
      <alignment horizontal="center"/>
      <protection hidden="1"/>
    </xf>
    <xf numFmtId="164" fontId="40" fillId="0" borderId="0" xfId="0" applyNumberFormat="1" applyFont="1" applyFill="1" applyBorder="1" applyAlignment="1" applyProtection="1">
      <alignment vertical="center" wrapText="1"/>
      <protection hidden="1"/>
    </xf>
    <xf numFmtId="164" fontId="54" fillId="0" borderId="0" xfId="0" applyNumberFormat="1" applyFont="1" applyFill="1" applyBorder="1" applyAlignment="1" applyProtection="1">
      <alignment vertical="center"/>
      <protection hidden="1"/>
    </xf>
    <xf numFmtId="164" fontId="46" fillId="0" borderId="0" xfId="1" applyNumberFormat="1" applyFont="1" applyFill="1" applyBorder="1" applyAlignment="1" applyProtection="1">
      <alignment horizontal="center" vertical="center" wrapText="1"/>
      <protection hidden="1"/>
    </xf>
    <xf numFmtId="164" fontId="39" fillId="0" borderId="0" xfId="0" applyNumberFormat="1" applyFont="1" applyFill="1" applyBorder="1" applyAlignment="1" applyProtection="1">
      <alignment vertical="center" wrapText="1"/>
      <protection hidden="1"/>
    </xf>
    <xf numFmtId="164" fontId="51" fillId="0" borderId="0" xfId="0" applyNumberFormat="1" applyFont="1" applyFill="1" applyBorder="1" applyAlignment="1" applyProtection="1">
      <alignment vertical="center" wrapText="1"/>
      <protection hidden="1"/>
    </xf>
    <xf numFmtId="164" fontId="40" fillId="0" borderId="0" xfId="1" applyNumberFormat="1" applyFont="1" applyFill="1" applyBorder="1" applyAlignment="1" applyProtection="1">
      <alignment wrapText="1"/>
      <protection hidden="1"/>
    </xf>
    <xf numFmtId="164" fontId="46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46" fillId="0" borderId="0" xfId="0" applyNumberFormat="1" applyFont="1" applyFill="1" applyBorder="1" applyAlignment="1" applyProtection="1">
      <alignment horizontal="center" wrapText="1"/>
      <protection hidden="1"/>
    </xf>
    <xf numFmtId="164" fontId="40" fillId="0" borderId="0" xfId="0" applyNumberFormat="1" applyFont="1" applyFill="1" applyBorder="1" applyAlignment="1" applyProtection="1">
      <alignment horizontal="center" wrapText="1"/>
      <protection hidden="1"/>
    </xf>
    <xf numFmtId="164" fontId="52" fillId="0" borderId="0" xfId="0" applyNumberFormat="1" applyFont="1" applyFill="1" applyBorder="1" applyAlignment="1" applyProtection="1">
      <alignment vertical="center" wrapText="1"/>
      <protection hidden="1"/>
    </xf>
    <xf numFmtId="164" fontId="39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40" fillId="0" borderId="0" xfId="0" applyNumberFormat="1" applyFont="1" applyFill="1" applyBorder="1" applyAlignment="1" applyProtection="1">
      <alignment horizontal="center" vertical="center"/>
      <protection hidden="1"/>
    </xf>
    <xf numFmtId="164" fontId="52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48" fillId="0" borderId="0" xfId="0" applyNumberFormat="1" applyFont="1" applyFill="1" applyBorder="1" applyAlignment="1" applyProtection="1">
      <alignment horizontal="left"/>
      <protection hidden="1"/>
    </xf>
    <xf numFmtId="164" fontId="40" fillId="0" borderId="0" xfId="1" applyNumberFormat="1" applyFont="1" applyFill="1" applyBorder="1" applyAlignment="1" applyProtection="1">
      <alignment vertical="center"/>
      <protection hidden="1"/>
    </xf>
    <xf numFmtId="164" fontId="47" fillId="0" borderId="0" xfId="0" applyNumberFormat="1" applyFont="1" applyFill="1" applyBorder="1" applyAlignment="1" applyProtection="1">
      <alignment horizontal="left" vertical="center"/>
      <protection hidden="1"/>
    </xf>
    <xf numFmtId="164" fontId="48" fillId="0" borderId="0" xfId="0" applyNumberFormat="1" applyFont="1" applyFill="1" applyBorder="1" applyAlignment="1" applyProtection="1">
      <alignment horizontal="left" wrapText="1"/>
      <protection hidden="1"/>
    </xf>
    <xf numFmtId="164" fontId="48" fillId="0" borderId="0" xfId="0" applyNumberFormat="1" applyFont="1" applyFill="1" applyBorder="1" applyAlignment="1" applyProtection="1">
      <alignment horizontal="left" vertical="center" textRotation="90" wrapText="1"/>
      <protection hidden="1"/>
    </xf>
    <xf numFmtId="164" fontId="47" fillId="0" borderId="0" xfId="0" applyNumberFormat="1" applyFont="1" applyFill="1" applyBorder="1" applyAlignment="1" applyProtection="1">
      <alignment horizontal="left" vertical="center" wrapText="1"/>
      <protection hidden="1"/>
    </xf>
    <xf numFmtId="164" fontId="54" fillId="0" borderId="0" xfId="0" applyNumberFormat="1" applyFont="1" applyFill="1" applyBorder="1" applyAlignment="1" applyProtection="1">
      <alignment horizontal="center"/>
      <protection hidden="1"/>
    </xf>
    <xf numFmtId="164" fontId="39" fillId="0" borderId="0" xfId="0" applyNumberFormat="1" applyFont="1" applyFill="1" applyBorder="1" applyAlignment="1" applyProtection="1">
      <alignment vertical="center"/>
      <protection hidden="1"/>
    </xf>
    <xf numFmtId="164" fontId="47" fillId="0" borderId="0" xfId="0" applyNumberFormat="1" applyFont="1" applyFill="1" applyBorder="1" applyAlignment="1" applyProtection="1">
      <alignment horizontal="left" wrapText="1"/>
      <protection hidden="1"/>
    </xf>
    <xf numFmtId="164" fontId="47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47" fillId="0" borderId="0" xfId="0" applyNumberFormat="1" applyFont="1" applyFill="1" applyBorder="1" applyAlignment="1" applyProtection="1">
      <alignment vertical="center" wrapText="1"/>
      <protection hidden="1"/>
    </xf>
    <xf numFmtId="164" fontId="52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40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43" fillId="0" borderId="0" xfId="0" applyNumberFormat="1" applyFont="1" applyFill="1" applyBorder="1" applyAlignment="1" applyProtection="1">
      <alignment horizontal="left"/>
      <protection hidden="1"/>
    </xf>
    <xf numFmtId="164" fontId="43" fillId="0" borderId="0" xfId="0" applyNumberFormat="1" applyFont="1" applyFill="1" applyBorder="1" applyAlignment="1" applyProtection="1">
      <protection hidden="1"/>
    </xf>
    <xf numFmtId="164" fontId="52" fillId="0" borderId="0" xfId="0" applyNumberFormat="1" applyFont="1" applyFill="1" applyBorder="1" applyAlignment="1" applyProtection="1">
      <alignment wrapText="1"/>
      <protection hidden="1"/>
    </xf>
    <xf numFmtId="164" fontId="40" fillId="0" borderId="0" xfId="1" applyNumberFormat="1" applyFont="1" applyFill="1" applyBorder="1" applyAlignment="1" applyProtection="1">
      <alignment horizontal="center" vertical="center" wrapText="1"/>
      <protection hidden="1"/>
    </xf>
    <xf numFmtId="164" fontId="51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40" fillId="0" borderId="0" xfId="0" applyNumberFormat="1" applyFont="1" applyFill="1" applyBorder="1" applyAlignment="1" applyProtection="1">
      <alignment horizontal="right"/>
      <protection hidden="1"/>
    </xf>
    <xf numFmtId="164" fontId="43" fillId="0" borderId="0" xfId="0" applyNumberFormat="1" applyFont="1" applyFill="1" applyBorder="1" applyAlignment="1" applyProtection="1">
      <alignment vertical="center"/>
      <protection hidden="1"/>
    </xf>
    <xf numFmtId="164" fontId="48" fillId="0" borderId="0" xfId="0" applyNumberFormat="1" applyFont="1" applyFill="1" applyBorder="1" applyAlignment="1" applyProtection="1">
      <alignment vertical="center"/>
      <protection hidden="1"/>
    </xf>
    <xf numFmtId="164" fontId="40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53" fillId="0" borderId="0" xfId="0" applyNumberFormat="1" applyFont="1" applyFill="1" applyBorder="1" applyAlignment="1" applyProtection="1">
      <alignment vertical="center"/>
      <protection hidden="1"/>
    </xf>
    <xf numFmtId="164" fontId="57" fillId="0" borderId="0" xfId="0" applyNumberFormat="1" applyFont="1" applyFill="1" applyBorder="1" applyAlignment="1" applyProtection="1">
      <alignment vertical="center" wrapText="1"/>
      <protection hidden="1"/>
    </xf>
    <xf numFmtId="164" fontId="46" fillId="0" borderId="0" xfId="1" applyNumberFormat="1" applyFont="1" applyFill="1" applyBorder="1" applyAlignment="1" applyProtection="1">
      <alignment vertical="center" wrapText="1"/>
      <protection hidden="1"/>
    </xf>
    <xf numFmtId="164" fontId="52" fillId="0" borderId="0" xfId="1" applyNumberFormat="1" applyFont="1" applyFill="1" applyBorder="1" applyAlignment="1" applyProtection="1">
      <alignment horizontal="right" vertical="center" wrapText="1"/>
      <protection hidden="1"/>
    </xf>
    <xf numFmtId="164" fontId="40" fillId="0" borderId="0" xfId="0" applyNumberFormat="1" applyFont="1" applyFill="1" applyBorder="1" applyAlignment="1" applyProtection="1">
      <alignment horizontal="right" vertical="center"/>
      <protection hidden="1"/>
    </xf>
    <xf numFmtId="164" fontId="39" fillId="0" borderId="0" xfId="0" applyNumberFormat="1" applyFont="1" applyFill="1" applyBorder="1" applyAlignment="1" applyProtection="1">
      <alignment horizontal="right" vertical="center"/>
      <protection hidden="1"/>
    </xf>
    <xf numFmtId="164" fontId="47" fillId="0" borderId="0" xfId="0" applyNumberFormat="1" applyFont="1" applyFill="1" applyBorder="1" applyAlignment="1" applyProtection="1">
      <alignment vertical="center"/>
      <protection hidden="1"/>
    </xf>
    <xf numFmtId="164" fontId="51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43" fillId="0" borderId="0" xfId="0" applyNumberFormat="1" applyFont="1" applyFill="1" applyBorder="1" applyAlignment="1" applyProtection="1">
      <alignment vertical="center" wrapText="1"/>
      <protection hidden="1"/>
    </xf>
    <xf numFmtId="164" fontId="54" fillId="0" borderId="0" xfId="0" applyNumberFormat="1" applyFont="1" applyFill="1" applyBorder="1" applyAlignment="1" applyProtection="1">
      <alignment vertical="center" wrapText="1"/>
      <protection hidden="1"/>
    </xf>
    <xf numFmtId="164" fontId="40" fillId="0" borderId="0" xfId="0" applyNumberFormat="1" applyFont="1" applyFill="1" applyBorder="1" applyAlignment="1" applyProtection="1">
      <alignment horizontal="left" wrapText="1"/>
      <protection hidden="1"/>
    </xf>
    <xf numFmtId="164" fontId="39" fillId="0" borderId="0" xfId="0" applyNumberFormat="1" applyFont="1" applyFill="1" applyBorder="1" applyAlignment="1" applyProtection="1">
      <alignment horizontal="right"/>
      <protection hidden="1"/>
    </xf>
    <xf numFmtId="164" fontId="46" fillId="0" borderId="0" xfId="0" applyNumberFormat="1" applyFont="1" applyFill="1" applyBorder="1" applyProtection="1">
      <protection hidden="1"/>
    </xf>
    <xf numFmtId="164" fontId="39" fillId="0" borderId="0" xfId="0" applyNumberFormat="1" applyFont="1" applyFill="1" applyBorder="1" applyAlignment="1" applyProtection="1">
      <alignment horizontal="center" vertical="center"/>
      <protection hidden="1"/>
    </xf>
    <xf numFmtId="164" fontId="39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52" fillId="0" borderId="0" xfId="0" applyNumberFormat="1" applyFont="1" applyFill="1" applyBorder="1" applyAlignment="1" applyProtection="1">
      <alignment horizontal="right" wrapText="1"/>
      <protection hidden="1"/>
    </xf>
    <xf numFmtId="164" fontId="54" fillId="0" borderId="0" xfId="1" applyNumberFormat="1" applyFont="1" applyFill="1" applyBorder="1" applyAlignment="1" applyProtection="1">
      <alignment horizontal="center"/>
      <protection hidden="1"/>
    </xf>
    <xf numFmtId="164" fontId="40" fillId="0" borderId="0" xfId="1" applyNumberFormat="1" applyFont="1" applyFill="1" applyBorder="1" applyAlignment="1" applyProtection="1">
      <alignment vertical="center" wrapText="1"/>
      <protection hidden="1"/>
    </xf>
    <xf numFmtId="164" fontId="47" fillId="0" borderId="0" xfId="0" applyNumberFormat="1" applyFont="1" applyFill="1" applyBorder="1" applyAlignment="1" applyProtection="1">
      <alignment wrapText="1"/>
      <protection hidden="1"/>
    </xf>
    <xf numFmtId="164" fontId="39" fillId="0" borderId="0" xfId="0" applyNumberFormat="1" applyFont="1" applyFill="1" applyBorder="1" applyAlignment="1" applyProtection="1">
      <protection hidden="1"/>
    </xf>
    <xf numFmtId="164" fontId="39" fillId="0" borderId="0" xfId="0" applyNumberFormat="1" applyFont="1" applyFill="1" applyBorder="1" applyAlignment="1" applyProtection="1">
      <alignment horizontal="left" wrapText="1"/>
      <protection hidden="1"/>
    </xf>
    <xf numFmtId="0" fontId="2" fillId="0" borderId="29" xfId="0" applyNumberFormat="1" applyFont="1" applyFill="1" applyBorder="1" applyAlignment="1" applyProtection="1">
      <alignment horizontal="left"/>
      <protection locked="0"/>
    </xf>
    <xf numFmtId="0" fontId="2" fillId="0" borderId="30" xfId="0" applyNumberFormat="1" applyFont="1" applyFill="1" applyBorder="1" applyAlignment="1" applyProtection="1">
      <alignment horizontal="left"/>
      <protection locked="0"/>
    </xf>
    <xf numFmtId="0" fontId="2" fillId="0" borderId="25" xfId="0" applyNumberFormat="1" applyFont="1" applyFill="1" applyBorder="1" applyAlignment="1" applyProtection="1">
      <alignment horizontal="left"/>
      <protection locked="0"/>
    </xf>
    <xf numFmtId="0" fontId="2" fillId="0" borderId="26" xfId="0" applyNumberFormat="1" applyFont="1" applyFill="1" applyBorder="1" applyAlignment="1" applyProtection="1">
      <alignment horizontal="left"/>
      <protection locked="0"/>
    </xf>
    <xf numFmtId="0" fontId="2" fillId="0" borderId="27" xfId="0" applyNumberFormat="1" applyFont="1" applyFill="1" applyBorder="1" applyAlignment="1" applyProtection="1">
      <alignment horizontal="left"/>
      <protection locked="0"/>
    </xf>
    <xf numFmtId="0" fontId="2" fillId="0" borderId="28" xfId="0" applyNumberFormat="1" applyFont="1" applyFill="1" applyBorder="1" applyAlignment="1" applyProtection="1">
      <alignment horizontal="left"/>
      <protection locked="0"/>
    </xf>
    <xf numFmtId="164" fontId="52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52" fillId="0" borderId="0" xfId="0" applyNumberFormat="1" applyFont="1" applyFill="1" applyBorder="1" applyAlignment="1" applyProtection="1">
      <alignment horizontal="center" vertical="center"/>
      <protection hidden="1"/>
    </xf>
    <xf numFmtId="164" fontId="43" fillId="0" borderId="0" xfId="0" applyNumberFormat="1" applyFont="1" applyFill="1" applyBorder="1" applyAlignment="1" applyProtection="1">
      <alignment horizontal="center" vertical="center" textRotation="90"/>
      <protection hidden="1"/>
    </xf>
    <xf numFmtId="164" fontId="40" fillId="0" borderId="0" xfId="0" applyNumberFormat="1" applyFont="1" applyFill="1" applyBorder="1" applyAlignment="1" applyProtection="1">
      <alignment horizontal="center" vertical="center"/>
      <protection hidden="1"/>
    </xf>
    <xf numFmtId="164" fontId="40" fillId="0" borderId="0" xfId="0" applyNumberFormat="1" applyFont="1" applyFill="1" applyBorder="1" applyAlignment="1" applyProtection="1">
      <alignment horizontal="right" vertical="center"/>
      <protection hidden="1"/>
    </xf>
    <xf numFmtId="164" fontId="39" fillId="0" borderId="0" xfId="0" applyNumberFormat="1" applyFont="1" applyFill="1" applyBorder="1" applyAlignment="1" applyProtection="1">
      <alignment horizontal="right" vertical="center"/>
      <protection hidden="1"/>
    </xf>
    <xf numFmtId="164" fontId="39" fillId="0" borderId="0" xfId="0" applyNumberFormat="1" applyFont="1" applyFill="1" applyBorder="1" applyAlignment="1" applyProtection="1">
      <alignment horizontal="center" wrapText="1"/>
      <protection hidden="1"/>
    </xf>
    <xf numFmtId="164" fontId="40" fillId="0" borderId="0" xfId="0" applyNumberFormat="1" applyFont="1" applyFill="1" applyBorder="1" applyAlignment="1" applyProtection="1">
      <alignment horizontal="center"/>
      <protection hidden="1"/>
    </xf>
    <xf numFmtId="164" fontId="43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3" borderId="3" xfId="0" applyNumberFormat="1" applyFont="1" applyFill="1" applyBorder="1" applyAlignment="1" applyProtection="1">
      <alignment horizontal="center" vertical="center"/>
      <protection hidden="1"/>
    </xf>
    <xf numFmtId="0" fontId="15" fillId="3" borderId="0" xfId="0" applyNumberFormat="1" applyFont="1" applyFill="1" applyBorder="1" applyAlignment="1" applyProtection="1">
      <alignment horizontal="center" vertical="center"/>
      <protection hidden="1"/>
    </xf>
    <xf numFmtId="0" fontId="15" fillId="3" borderId="2" xfId="0" applyNumberFormat="1" applyFont="1" applyFill="1" applyBorder="1" applyAlignment="1" applyProtection="1">
      <alignment horizontal="center" vertical="center"/>
      <protection hidden="1"/>
    </xf>
    <xf numFmtId="0" fontId="15" fillId="3" borderId="4" xfId="0" applyNumberFormat="1" applyFont="1" applyFill="1" applyBorder="1" applyAlignment="1" applyProtection="1">
      <alignment horizontal="center" vertical="center"/>
      <protection hidden="1"/>
    </xf>
    <xf numFmtId="0" fontId="15" fillId="3" borderId="1" xfId="0" applyNumberFormat="1" applyFont="1" applyFill="1" applyBorder="1" applyAlignment="1" applyProtection="1">
      <alignment horizontal="center" vertical="center"/>
      <protection hidden="1"/>
    </xf>
    <xf numFmtId="0" fontId="15" fillId="3" borderId="5" xfId="0" applyNumberFormat="1" applyFont="1" applyFill="1" applyBorder="1" applyAlignment="1" applyProtection="1">
      <alignment horizontal="center" vertical="center"/>
      <protection hidden="1"/>
    </xf>
    <xf numFmtId="0" fontId="29" fillId="3" borderId="0" xfId="0" applyNumberFormat="1" applyFont="1" applyFill="1" applyBorder="1" applyAlignment="1" applyProtection="1">
      <alignment horizontal="left"/>
      <protection hidden="1"/>
    </xf>
    <xf numFmtId="0" fontId="28" fillId="3" borderId="0" xfId="0" applyNumberFormat="1" applyFont="1" applyFill="1" applyBorder="1" applyAlignment="1" applyProtection="1">
      <alignment horizontal="left"/>
      <protection hidden="1"/>
    </xf>
    <xf numFmtId="0" fontId="32" fillId="3" borderId="0" xfId="0" applyNumberFormat="1" applyFont="1" applyFill="1" applyBorder="1" applyAlignment="1" applyProtection="1">
      <alignment horizontal="left" vertical="center"/>
      <protection hidden="1"/>
    </xf>
    <xf numFmtId="0" fontId="32" fillId="3" borderId="2" xfId="0" applyNumberFormat="1" applyFont="1" applyFill="1" applyBorder="1" applyAlignment="1" applyProtection="1">
      <alignment horizontal="left" vertical="center"/>
      <protection hidden="1"/>
    </xf>
    <xf numFmtId="0" fontId="2" fillId="0" borderId="18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Border="1" applyAlignment="1" applyProtection="1">
      <alignment horizontal="center" wrapText="1"/>
      <protection hidden="1"/>
    </xf>
    <xf numFmtId="2" fontId="27" fillId="3" borderId="0" xfId="0" applyNumberFormat="1" applyFont="1" applyFill="1" applyBorder="1" applyAlignment="1" applyProtection="1">
      <alignment horizontal="right"/>
      <protection hidden="1"/>
    </xf>
    <xf numFmtId="0" fontId="31" fillId="3" borderId="0" xfId="0" applyNumberFormat="1" applyFont="1" applyFill="1" applyBorder="1" applyAlignment="1" applyProtection="1">
      <alignment horizontal="left" vertical="top"/>
      <protection hidden="1"/>
    </xf>
    <xf numFmtId="0" fontId="31" fillId="3" borderId="0" xfId="0" applyNumberFormat="1" applyFont="1" applyFill="1" applyBorder="1" applyAlignment="1" applyProtection="1">
      <alignment horizontal="left"/>
      <protection hidden="1"/>
    </xf>
    <xf numFmtId="2" fontId="2" fillId="3" borderId="0" xfId="0" applyNumberFormat="1" applyFont="1" applyFill="1" applyBorder="1" applyAlignment="1" applyProtection="1">
      <alignment horizontal="right"/>
      <protection hidden="1"/>
    </xf>
    <xf numFmtId="0" fontId="27" fillId="3" borderId="0" xfId="0" applyNumberFormat="1" applyFont="1" applyFill="1" applyBorder="1" applyAlignment="1" applyProtection="1">
      <alignment horizontal="right" vertical="top"/>
      <protection hidden="1"/>
    </xf>
    <xf numFmtId="0" fontId="27" fillId="3" borderId="0" xfId="0" applyNumberFormat="1" applyFont="1" applyFill="1" applyBorder="1" applyAlignment="1" applyProtection="1">
      <alignment horizontal="right"/>
      <protection hidden="1"/>
    </xf>
    <xf numFmtId="0" fontId="30" fillId="3" borderId="0" xfId="0" applyNumberFormat="1" applyFont="1" applyFill="1" applyBorder="1" applyAlignment="1" applyProtection="1">
      <alignment horizontal="left"/>
      <protection hidden="1"/>
    </xf>
    <xf numFmtId="0" fontId="30" fillId="3" borderId="2" xfId="0" applyNumberFormat="1" applyFont="1" applyFill="1" applyBorder="1" applyAlignment="1" applyProtection="1">
      <alignment horizontal="left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0" fontId="4" fillId="3" borderId="0" xfId="0" applyNumberFormat="1" applyFont="1" applyFill="1" applyBorder="1" applyAlignment="1" applyProtection="1">
      <alignment horizontal="left"/>
      <protection hidden="1"/>
    </xf>
    <xf numFmtId="0" fontId="3" fillId="3" borderId="0" xfId="0" applyNumberFormat="1" applyFont="1" applyFill="1" applyBorder="1" applyAlignment="1" applyProtection="1">
      <alignment horizontal="left"/>
      <protection hidden="1"/>
    </xf>
    <xf numFmtId="0" fontId="3" fillId="3" borderId="0" xfId="0" applyNumberFormat="1" applyFont="1" applyFill="1" applyBorder="1" applyAlignment="1" applyProtection="1">
      <alignment horizontal="left" vertical="center"/>
      <protection hidden="1"/>
    </xf>
    <xf numFmtId="0" fontId="28" fillId="3" borderId="0" xfId="0" applyNumberFormat="1" applyFont="1" applyFill="1" applyBorder="1" applyAlignment="1" applyProtection="1">
      <alignment horizontal="left" vertical="center"/>
      <protection hidden="1"/>
    </xf>
    <xf numFmtId="2" fontId="2" fillId="3" borderId="0" xfId="1" applyNumberFormat="1" applyFont="1" applyFill="1" applyBorder="1" applyAlignment="1" applyProtection="1">
      <alignment horizontal="right" vertical="center"/>
      <protection hidden="1"/>
    </xf>
    <xf numFmtId="2" fontId="2" fillId="3" borderId="0" xfId="1" applyNumberFormat="1" applyFont="1" applyFill="1" applyBorder="1" applyAlignment="1" applyProtection="1">
      <alignment horizontal="right"/>
      <protection hidden="1"/>
    </xf>
    <xf numFmtId="0" fontId="2" fillId="3" borderId="0" xfId="1" applyNumberFormat="1" applyFont="1" applyFill="1" applyBorder="1" applyAlignment="1" applyProtection="1">
      <alignment horizontal="right"/>
      <protection hidden="1"/>
    </xf>
    <xf numFmtId="0" fontId="2" fillId="0" borderId="19" xfId="0" applyNumberFormat="1" applyFont="1" applyFill="1" applyBorder="1" applyAlignment="1" applyProtection="1">
      <alignment horizontal="left"/>
      <protection locked="0"/>
    </xf>
    <xf numFmtId="0" fontId="2" fillId="0" borderId="17" xfId="0" applyNumberFormat="1" applyFont="1" applyFill="1" applyBorder="1" applyAlignment="1" applyProtection="1">
      <alignment horizontal="left"/>
      <protection locked="0"/>
    </xf>
    <xf numFmtId="164" fontId="40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56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39" fillId="0" borderId="0" xfId="0" applyNumberFormat="1" applyFont="1" applyFill="1" applyBorder="1" applyAlignment="1" applyProtection="1">
      <alignment horizontal="center" vertical="center"/>
      <protection hidden="1"/>
    </xf>
    <xf numFmtId="164" fontId="39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57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47" fillId="0" borderId="0" xfId="0" applyNumberFormat="1" applyFont="1" applyFill="1" applyBorder="1" applyAlignment="1" applyProtection="1">
      <alignment horizontal="left"/>
      <protection hidden="1"/>
    </xf>
    <xf numFmtId="164" fontId="51" fillId="0" borderId="0" xfId="0" applyNumberFormat="1" applyFont="1" applyFill="1" applyBorder="1" applyAlignment="1" applyProtection="1">
      <alignment horizontal="right" vertical="center"/>
      <protection hidden="1"/>
    </xf>
    <xf numFmtId="164" fontId="40" fillId="0" borderId="0" xfId="1" applyNumberFormat="1" applyFont="1" applyFill="1" applyBorder="1" applyAlignment="1" applyProtection="1">
      <alignment horizontal="center" vertical="center"/>
      <protection hidden="1"/>
    </xf>
    <xf numFmtId="164" fontId="47" fillId="0" borderId="0" xfId="0" applyNumberFormat="1" applyFont="1" applyFill="1" applyBorder="1" applyAlignment="1" applyProtection="1">
      <alignment horizontal="left" vertical="center" wrapText="1"/>
      <protection hidden="1"/>
    </xf>
    <xf numFmtId="164" fontId="47" fillId="0" borderId="0" xfId="0" applyNumberFormat="1" applyFont="1" applyFill="1" applyBorder="1" applyAlignment="1" applyProtection="1">
      <alignment horizontal="left" vertical="center"/>
      <protection hidden="1"/>
    </xf>
    <xf numFmtId="164" fontId="51" fillId="0" borderId="0" xfId="0" applyNumberFormat="1" applyFont="1" applyFill="1" applyBorder="1" applyAlignment="1" applyProtection="1">
      <alignment horizontal="left"/>
      <protection hidden="1"/>
    </xf>
    <xf numFmtId="164" fontId="51" fillId="0" borderId="0" xfId="0" applyNumberFormat="1" applyFont="1" applyFill="1" applyBorder="1" applyAlignment="1" applyProtection="1">
      <alignment horizontal="left" vertical="center"/>
      <protection hidden="1"/>
    </xf>
    <xf numFmtId="164" fontId="51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51" fillId="0" borderId="0" xfId="0" applyNumberFormat="1" applyFont="1" applyFill="1" applyBorder="1" applyAlignment="1" applyProtection="1">
      <alignment horizontal="center" vertical="center"/>
      <protection hidden="1"/>
    </xf>
    <xf numFmtId="164" fontId="50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43" fillId="0" borderId="0" xfId="0" applyNumberFormat="1" applyFont="1" applyFill="1" applyBorder="1" applyAlignment="1" applyProtection="1">
      <alignment horizontal="center"/>
      <protection hidden="1"/>
    </xf>
    <xf numFmtId="164" fontId="40" fillId="0" borderId="0" xfId="0" applyNumberFormat="1" applyFont="1" applyFill="1" applyBorder="1" applyAlignment="1" applyProtection="1">
      <alignment horizontal="left" vertical="center"/>
      <protection hidden="1"/>
    </xf>
    <xf numFmtId="164" fontId="53" fillId="0" borderId="0" xfId="0" applyNumberFormat="1" applyFont="1" applyFill="1" applyBorder="1" applyAlignment="1" applyProtection="1">
      <alignment horizontal="center" vertical="center"/>
      <protection hidden="1"/>
    </xf>
    <xf numFmtId="164" fontId="43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36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47" fillId="0" borderId="0" xfId="0" applyNumberFormat="1" applyFont="1" applyFill="1" applyBorder="1" applyAlignment="1" applyProtection="1">
      <alignment horizontal="left" wrapText="1"/>
      <protection hidden="1"/>
    </xf>
    <xf numFmtId="164" fontId="39" fillId="0" borderId="0" xfId="0" applyNumberFormat="1" applyFont="1" applyFill="1" applyBorder="1" applyAlignment="1" applyProtection="1">
      <alignment horizontal="center"/>
      <protection hidden="1"/>
    </xf>
    <xf numFmtId="164" fontId="52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52" fillId="0" borderId="0" xfId="0" applyNumberFormat="1" applyFont="1" applyFill="1" applyBorder="1" applyAlignment="1" applyProtection="1">
      <alignment horizontal="right" wrapText="1"/>
      <protection hidden="1"/>
    </xf>
    <xf numFmtId="164" fontId="40" fillId="0" borderId="0" xfId="0" applyNumberFormat="1" applyFont="1" applyFill="1" applyBorder="1" applyAlignment="1" applyProtection="1">
      <alignment horizontal="right" wrapText="1"/>
      <protection hidden="1"/>
    </xf>
    <xf numFmtId="164" fontId="40" fillId="0" borderId="0" xfId="0" applyNumberFormat="1" applyFont="1" applyFill="1" applyBorder="1" applyProtection="1">
      <protection hidden="1"/>
    </xf>
    <xf numFmtId="164" fontId="46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46" fillId="0" borderId="0" xfId="0" applyNumberFormat="1" applyFont="1" applyFill="1" applyBorder="1" applyAlignment="1" applyProtection="1">
      <alignment horizontal="center" vertical="top" wrapText="1"/>
      <protection hidden="1"/>
    </xf>
    <xf numFmtId="164" fontId="55" fillId="0" borderId="0" xfId="0" applyNumberFormat="1" applyFont="1" applyFill="1" applyBorder="1" applyAlignment="1" applyProtection="1">
      <alignment horizontal="center"/>
      <protection hidden="1"/>
    </xf>
    <xf numFmtId="164" fontId="52" fillId="0" borderId="0" xfId="0" applyNumberFormat="1" applyFont="1" applyFill="1" applyBorder="1" applyAlignment="1" applyProtection="1">
      <alignment horizontal="center" wrapText="1"/>
      <protection hidden="1"/>
    </xf>
    <xf numFmtId="164" fontId="40" fillId="0" borderId="0" xfId="0" applyNumberFormat="1" applyFont="1" applyFill="1" applyBorder="1" applyAlignment="1" applyProtection="1">
      <alignment horizontal="left" wrapText="1"/>
      <protection hidden="1"/>
    </xf>
    <xf numFmtId="164" fontId="40" fillId="0" borderId="0" xfId="0" applyNumberFormat="1" applyFont="1" applyFill="1" applyBorder="1" applyAlignment="1" applyProtection="1">
      <alignment horizontal="center" wrapText="1"/>
      <protection hidden="1"/>
    </xf>
    <xf numFmtId="0" fontId="36" fillId="2" borderId="10" xfId="0" applyNumberFormat="1" applyFont="1" applyFill="1" applyBorder="1" applyAlignment="1" applyProtection="1">
      <alignment horizontal="center" vertical="center"/>
      <protection hidden="1"/>
    </xf>
    <xf numFmtId="0" fontId="36" fillId="2" borderId="11" xfId="0" applyNumberFormat="1" applyFont="1" applyFill="1" applyBorder="1" applyAlignment="1" applyProtection="1">
      <alignment horizontal="center" vertical="center"/>
      <protection hidden="1"/>
    </xf>
    <xf numFmtId="0" fontId="36" fillId="2" borderId="12" xfId="0" applyNumberFormat="1" applyFont="1" applyFill="1" applyBorder="1" applyAlignment="1" applyProtection="1">
      <alignment horizontal="center" vertical="center"/>
      <protection hidden="1"/>
    </xf>
    <xf numFmtId="0" fontId="36" fillId="2" borderId="4" xfId="0" applyNumberFormat="1" applyFont="1" applyFill="1" applyBorder="1" applyAlignment="1" applyProtection="1">
      <alignment horizontal="center" vertical="center"/>
      <protection hidden="1"/>
    </xf>
    <xf numFmtId="0" fontId="36" fillId="2" borderId="1" xfId="0" applyNumberFormat="1" applyFont="1" applyFill="1" applyBorder="1" applyAlignment="1" applyProtection="1">
      <alignment horizontal="center" vertical="center"/>
      <protection hidden="1"/>
    </xf>
    <xf numFmtId="0" fontId="36" fillId="2" borderId="5" xfId="0" applyNumberFormat="1" applyFont="1" applyFill="1" applyBorder="1" applyAlignment="1" applyProtection="1">
      <alignment horizontal="center" vertical="center"/>
      <protection hidden="1"/>
    </xf>
    <xf numFmtId="0" fontId="3" fillId="3" borderId="0" xfId="0" applyNumberFormat="1" applyFont="1" applyFill="1" applyBorder="1" applyAlignment="1" applyProtection="1">
      <alignment horizontal="right" wrapText="1"/>
      <protection hidden="1"/>
    </xf>
    <xf numFmtId="164" fontId="51" fillId="0" borderId="0" xfId="0" applyNumberFormat="1" applyFont="1" applyFill="1" applyBorder="1" applyAlignment="1" applyProtection="1">
      <alignment horizontal="center"/>
      <protection hidden="1"/>
    </xf>
    <xf numFmtId="0" fontId="33" fillId="4" borderId="0" xfId="0" applyNumberFormat="1" applyFont="1" applyFill="1" applyAlignment="1" applyProtection="1">
      <alignment horizontal="center" vertical="center"/>
      <protection hidden="1"/>
    </xf>
    <xf numFmtId="0" fontId="2" fillId="0" borderId="6" xfId="0" applyNumberFormat="1" applyFont="1" applyFill="1" applyBorder="1" applyAlignment="1" applyProtection="1">
      <alignment horizontal="left"/>
      <protection locked="0" hidden="1"/>
    </xf>
    <xf numFmtId="0" fontId="2" fillId="0" borderId="7" xfId="0" applyNumberFormat="1" applyFont="1" applyFill="1" applyBorder="1" applyAlignment="1" applyProtection="1">
      <alignment horizontal="left"/>
      <protection locked="0" hidden="1"/>
    </xf>
    <xf numFmtId="0" fontId="2" fillId="0" borderId="6" xfId="0" applyNumberFormat="1" applyFont="1" applyFill="1" applyBorder="1" applyAlignment="1" applyProtection="1">
      <alignment horizontal="left" vertical="center"/>
      <protection locked="0" hidden="1"/>
    </xf>
    <xf numFmtId="0" fontId="2" fillId="0" borderId="7" xfId="0" applyNumberFormat="1" applyFont="1" applyFill="1" applyBorder="1" applyAlignment="1" applyProtection="1">
      <alignment horizontal="left" vertical="center"/>
      <protection locked="0" hidden="1"/>
    </xf>
    <xf numFmtId="0" fontId="3" fillId="0" borderId="0" xfId="0" applyNumberFormat="1" applyFont="1" applyBorder="1" applyAlignment="1" applyProtection="1">
      <alignment horizontal="right"/>
      <protection hidden="1"/>
    </xf>
    <xf numFmtId="0" fontId="14" fillId="0" borderId="8" xfId="0" applyNumberFormat="1" applyFont="1" applyBorder="1" applyAlignment="1" applyProtection="1">
      <alignment horizontal="left"/>
      <protection locked="0"/>
    </xf>
    <xf numFmtId="0" fontId="14" fillId="0" borderId="9" xfId="0" applyNumberFormat="1" applyFont="1" applyBorder="1" applyAlignment="1" applyProtection="1">
      <alignment horizontal="left"/>
      <protection locked="0"/>
    </xf>
    <xf numFmtId="0" fontId="4" fillId="0" borderId="9" xfId="0" applyNumberFormat="1" applyFont="1" applyBorder="1" applyAlignment="1" applyProtection="1">
      <alignment horizontal="left"/>
      <protection locked="0"/>
    </xf>
    <xf numFmtId="0" fontId="4" fillId="0" borderId="0" xfId="0" applyNumberFormat="1" applyFont="1" applyAlignment="1" applyProtection="1">
      <alignment horizontal="center"/>
      <protection hidden="1"/>
    </xf>
    <xf numFmtId="0" fontId="21" fillId="3" borderId="3" xfId="2" applyNumberFormat="1" applyFont="1" applyFill="1" applyBorder="1" applyAlignment="1" applyProtection="1">
      <alignment horizontal="center"/>
      <protection hidden="1"/>
    </xf>
    <xf numFmtId="0" fontId="21" fillId="3" borderId="0" xfId="2" applyNumberFormat="1" applyFont="1" applyFill="1" applyBorder="1" applyAlignment="1" applyProtection="1">
      <alignment horizontal="center"/>
      <protection hidden="1"/>
    </xf>
    <xf numFmtId="0" fontId="35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35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35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0" xfId="1" applyNumberFormat="1" applyFont="1" applyFill="1" applyBorder="1" applyAlignment="1" applyProtection="1">
      <alignment horizontal="right" vertical="top"/>
      <protection hidden="1"/>
    </xf>
    <xf numFmtId="0" fontId="14" fillId="3" borderId="0" xfId="0" applyNumberFormat="1" applyFont="1" applyFill="1" applyBorder="1" applyAlignment="1" applyProtection="1">
      <alignment horizontal="left"/>
      <protection hidden="1"/>
    </xf>
    <xf numFmtId="0" fontId="3" fillId="3" borderId="0" xfId="0" applyNumberFormat="1" applyFont="1" applyFill="1" applyBorder="1" applyAlignment="1" applyProtection="1">
      <alignment horizontal="right" vertical="center"/>
      <protection hidden="1"/>
    </xf>
    <xf numFmtId="0" fontId="6" fillId="3" borderId="3" xfId="0" applyNumberFormat="1" applyFont="1" applyFill="1" applyBorder="1" applyAlignment="1" applyProtection="1">
      <alignment horizontal="right" vertical="center"/>
      <protection hidden="1"/>
    </xf>
    <xf numFmtId="0" fontId="6" fillId="3" borderId="0" xfId="0" applyNumberFormat="1" applyFont="1" applyFill="1" applyBorder="1" applyAlignment="1" applyProtection="1">
      <alignment horizontal="right" vertical="center"/>
      <protection hidden="1"/>
    </xf>
    <xf numFmtId="164" fontId="42" fillId="3" borderId="0" xfId="0" applyNumberFormat="1" applyFont="1" applyFill="1" applyBorder="1" applyAlignment="1" applyProtection="1">
      <alignment horizontal="left"/>
      <protection hidden="1"/>
    </xf>
    <xf numFmtId="164" fontId="41" fillId="3" borderId="3" xfId="0" applyNumberFormat="1" applyFont="1" applyFill="1" applyBorder="1" applyAlignment="1" applyProtection="1">
      <alignment horizontal="right" vertical="center" wrapText="1"/>
      <protection hidden="1"/>
    </xf>
    <xf numFmtId="164" fontId="41" fillId="3" borderId="0" xfId="0" applyNumberFormat="1" applyFont="1" applyFill="1" applyBorder="1" applyAlignment="1" applyProtection="1">
      <alignment horizontal="right" vertical="center" wrapText="1"/>
      <protection hidden="1"/>
    </xf>
    <xf numFmtId="0" fontId="3" fillId="3" borderId="3" xfId="0" applyNumberFormat="1" applyFont="1" applyFill="1" applyBorder="1" applyAlignment="1" applyProtection="1">
      <alignment horizontal="right" wrapText="1"/>
      <protection hidden="1"/>
    </xf>
    <xf numFmtId="0" fontId="16" fillId="0" borderId="6" xfId="0" applyNumberFormat="1" applyFont="1" applyFill="1" applyBorder="1" applyAlignment="1" applyProtection="1">
      <alignment horizontal="left" vertical="center"/>
      <protection locked="0" hidden="1"/>
    </xf>
    <xf numFmtId="0" fontId="3" fillId="3" borderId="0" xfId="0" applyNumberFormat="1" applyFont="1" applyFill="1" applyBorder="1" applyAlignment="1" applyProtection="1">
      <alignment horizontal="right" vertical="center" wrapText="1"/>
      <protection hidden="1"/>
    </xf>
    <xf numFmtId="0" fontId="23" fillId="3" borderId="0" xfId="0" applyNumberFormat="1" applyFont="1" applyFill="1" applyBorder="1" applyAlignment="1" applyProtection="1">
      <alignment horizontal="left"/>
      <protection hidden="1"/>
    </xf>
    <xf numFmtId="0" fontId="23" fillId="3" borderId="2" xfId="0" applyNumberFormat="1" applyFont="1" applyFill="1" applyBorder="1" applyAlignment="1" applyProtection="1">
      <alignment horizontal="left"/>
      <protection hidden="1"/>
    </xf>
    <xf numFmtId="0" fontId="22" fillId="3" borderId="0" xfId="0" applyNumberFormat="1" applyFont="1" applyFill="1" applyBorder="1" applyAlignment="1" applyProtection="1">
      <alignment horizontal="center"/>
      <protection hidden="1"/>
    </xf>
    <xf numFmtId="0" fontId="37" fillId="0" borderId="0" xfId="0" applyNumberFormat="1" applyFont="1" applyBorder="1" applyAlignment="1" applyProtection="1">
      <alignment horizontal="center"/>
      <protection hidden="1"/>
    </xf>
    <xf numFmtId="164" fontId="46" fillId="0" borderId="0" xfId="0" applyNumberFormat="1" applyFont="1" applyFill="1" applyBorder="1" applyAlignment="1" applyProtection="1">
      <alignment horizontal="center"/>
      <protection hidden="1"/>
    </xf>
    <xf numFmtId="0" fontId="20" fillId="3" borderId="0" xfId="0" applyNumberFormat="1" applyFont="1" applyFill="1" applyBorder="1" applyAlignment="1" applyProtection="1">
      <alignment horizontal="left"/>
      <protection hidden="1"/>
    </xf>
    <xf numFmtId="0" fontId="2" fillId="3" borderId="0" xfId="0" applyNumberFormat="1" applyFont="1" applyFill="1" applyBorder="1" applyAlignment="1" applyProtection="1">
      <alignment horizontal="right"/>
      <protection hidden="1"/>
    </xf>
    <xf numFmtId="0" fontId="19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0" xfId="0" applyNumberFormat="1" applyFont="1" applyFill="1" applyBorder="1" applyAlignment="1" applyProtection="1">
      <alignment horizontal="left"/>
      <protection locked="0"/>
    </xf>
    <xf numFmtId="2" fontId="2" fillId="0" borderId="17" xfId="0" applyNumberFormat="1" applyFont="1" applyFill="1" applyBorder="1" applyAlignment="1" applyProtection="1">
      <alignment horizontal="left"/>
      <protection locked="0"/>
    </xf>
    <xf numFmtId="9" fontId="2" fillId="0" borderId="18" xfId="0" applyNumberFormat="1" applyFont="1" applyFill="1" applyBorder="1" applyAlignment="1" applyProtection="1">
      <alignment horizontal="left"/>
      <protection locked="0"/>
    </xf>
    <xf numFmtId="0" fontId="34" fillId="3" borderId="1" xfId="0" applyNumberFormat="1" applyFont="1" applyFill="1" applyBorder="1" applyAlignment="1" applyProtection="1">
      <alignment horizontal="center"/>
      <protection hidden="1"/>
    </xf>
    <xf numFmtId="0" fontId="13" fillId="0" borderId="1" xfId="0" applyNumberFormat="1" applyFont="1" applyFill="1" applyBorder="1" applyAlignment="1" applyProtection="1">
      <alignment horizontal="left" vertical="center"/>
      <protection hidden="1"/>
    </xf>
    <xf numFmtId="0" fontId="2" fillId="0" borderId="21" xfId="0" applyNumberFormat="1" applyFont="1" applyFill="1" applyBorder="1" applyAlignment="1" applyProtection="1">
      <alignment horizontal="left"/>
      <protection locked="0"/>
    </xf>
    <xf numFmtId="0" fontId="35" fillId="3" borderId="3" xfId="0" applyNumberFormat="1" applyFont="1" applyFill="1" applyBorder="1" applyAlignment="1" applyProtection="1">
      <alignment horizontal="center" vertical="top" wrapText="1"/>
      <protection hidden="1"/>
    </xf>
    <xf numFmtId="0" fontId="35" fillId="3" borderId="0" xfId="0" applyNumberFormat="1" applyFont="1" applyFill="1" applyBorder="1" applyAlignment="1" applyProtection="1">
      <alignment horizontal="center" vertical="top" wrapText="1"/>
      <protection hidden="1"/>
    </xf>
    <xf numFmtId="164" fontId="25" fillId="3" borderId="0" xfId="0" applyNumberFormat="1" applyFont="1" applyFill="1" applyBorder="1" applyAlignment="1" applyProtection="1">
      <alignment horizontal="center" vertical="center"/>
      <protection hidden="1"/>
    </xf>
    <xf numFmtId="164" fontId="47" fillId="0" borderId="0" xfId="0" applyNumberFormat="1" applyFont="1" applyFill="1" applyBorder="1" applyAlignment="1" applyProtection="1">
      <alignment horizontal="right" vertical="center" wrapText="1"/>
      <protection hidden="1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21">
    <dxf>
      <font>
        <color rgb="FFC00000"/>
      </font>
      <fill>
        <patternFill>
          <bgColor theme="5" tint="0.79998168889431442"/>
        </patternFill>
      </fill>
      <border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color auto="1"/>
      </font>
    </dxf>
    <dxf>
      <font>
        <color auto="1"/>
      </font>
    </dxf>
    <dxf>
      <border>
        <bottom style="thin">
          <color auto="1"/>
        </bottom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vertical/>
        <horizontal/>
      </border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/>
        <i val="0"/>
        <color rgb="FFC00000"/>
      </font>
      <fill>
        <patternFill patternType="none">
          <bgColor auto="1"/>
        </patternFill>
      </fill>
      <border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color auto="1"/>
      </font>
    </dxf>
    <dxf>
      <font>
        <b/>
        <i val="0"/>
        <color rgb="FFC00000"/>
      </font>
      <fill>
        <patternFill patternType="none">
          <bgColor auto="1"/>
        </patternFill>
      </fill>
      <border>
        <vertical/>
        <horizontal/>
      </border>
    </dxf>
  </dxfs>
  <tableStyles count="0" defaultTableStyle="TableStyleMedium9" defaultPivotStyle="PivotStyleLight16"/>
  <colors>
    <mruColors>
      <color rgb="FF399AB5"/>
      <color rgb="FFF9B95B"/>
      <color rgb="FFF7C093"/>
      <color rgb="FFEABA8A"/>
      <color rgb="FFDCC6A8"/>
      <color rgb="FFD2B5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634799</xdr:colOff>
      <xdr:row>2</xdr:row>
      <xdr:rowOff>143934</xdr:rowOff>
    </xdr:from>
    <xdr:to>
      <xdr:col>27</xdr:col>
      <xdr:colOff>105834</xdr:colOff>
      <xdr:row>5</xdr:row>
      <xdr:rowOff>16934</xdr:rowOff>
    </xdr:to>
    <xdr:pic>
      <xdr:nvPicPr>
        <xdr:cNvPr id="9" name="Picture 8" descr="StormChamber Logo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588"/>
        <a:stretch/>
      </xdr:blipFill>
      <xdr:spPr>
        <a:xfrm>
          <a:off x="9905799" y="711201"/>
          <a:ext cx="2781502" cy="457200"/>
        </a:xfrm>
        <a:prstGeom prst="rect">
          <a:avLst/>
        </a:prstGeom>
      </xdr:spPr>
    </xdr:pic>
    <xdr:clientData/>
  </xdr:twoCellAnchor>
  <xdr:twoCellAnchor editAs="oneCell">
    <xdr:from>
      <xdr:col>2</xdr:col>
      <xdr:colOff>444500</xdr:colOff>
      <xdr:row>94</xdr:row>
      <xdr:rowOff>101600</xdr:rowOff>
    </xdr:from>
    <xdr:to>
      <xdr:col>8</xdr:col>
      <xdr:colOff>520700</xdr:colOff>
      <xdr:row>107</xdr:row>
      <xdr:rowOff>34455</xdr:rowOff>
    </xdr:to>
    <xdr:pic>
      <xdr:nvPicPr>
        <xdr:cNvPr id="15" name="Picture 14" descr="spacing drawing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t="2985"/>
        <a:stretch>
          <a:fillRect/>
        </a:stretch>
      </xdr:blipFill>
      <xdr:spPr>
        <a:xfrm>
          <a:off x="1536700" y="12865100"/>
          <a:ext cx="4203700" cy="2476763"/>
        </a:xfrm>
        <a:prstGeom prst="rect">
          <a:avLst/>
        </a:prstGeom>
      </xdr:spPr>
    </xdr:pic>
    <xdr:clientData/>
  </xdr:twoCellAnchor>
  <xdr:twoCellAnchor editAs="oneCell">
    <xdr:from>
      <xdr:col>15</xdr:col>
      <xdr:colOff>12700</xdr:colOff>
      <xdr:row>94</xdr:row>
      <xdr:rowOff>63500</xdr:rowOff>
    </xdr:from>
    <xdr:to>
      <xdr:col>24</xdr:col>
      <xdr:colOff>188984</xdr:colOff>
      <xdr:row>111</xdr:row>
      <xdr:rowOff>17339</xdr:rowOff>
    </xdr:to>
    <xdr:pic>
      <xdr:nvPicPr>
        <xdr:cNvPr id="16" name="Picture 15" descr="spacing drawing 2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264400" y="11696700"/>
          <a:ext cx="3922784" cy="3246127"/>
        </a:xfrm>
        <a:prstGeom prst="rect">
          <a:avLst/>
        </a:prstGeom>
      </xdr:spPr>
    </xdr:pic>
    <xdr:clientData/>
  </xdr:twoCellAnchor>
  <xdr:twoCellAnchor editAs="oneCell">
    <xdr:from>
      <xdr:col>1</xdr:col>
      <xdr:colOff>129931</xdr:colOff>
      <xdr:row>79</xdr:row>
      <xdr:rowOff>147524</xdr:rowOff>
    </xdr:from>
    <xdr:to>
      <xdr:col>4</xdr:col>
      <xdr:colOff>227255</xdr:colOff>
      <xdr:row>83</xdr:row>
      <xdr:rowOff>196581</xdr:rowOff>
    </xdr:to>
    <xdr:pic>
      <xdr:nvPicPr>
        <xdr:cNvPr id="8" name="Picture 7" descr="34w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78777" y="10805755"/>
          <a:ext cx="2949940" cy="775399"/>
        </a:xfrm>
        <a:prstGeom prst="rect">
          <a:avLst/>
        </a:prstGeom>
      </xdr:spPr>
    </xdr:pic>
    <xdr:clientData/>
  </xdr:twoCellAnchor>
  <xdr:twoCellAnchor editAs="oneCell">
    <xdr:from>
      <xdr:col>1</xdr:col>
      <xdr:colOff>96724</xdr:colOff>
      <xdr:row>88</xdr:row>
      <xdr:rowOff>38745</xdr:rowOff>
    </xdr:from>
    <xdr:to>
      <xdr:col>4</xdr:col>
      <xdr:colOff>175912</xdr:colOff>
      <xdr:row>92</xdr:row>
      <xdr:rowOff>25306</xdr:rowOff>
    </xdr:to>
    <xdr:pic>
      <xdr:nvPicPr>
        <xdr:cNvPr id="10" name="Picture 9" descr="34e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5570" y="12514053"/>
          <a:ext cx="2931804" cy="768099"/>
        </a:xfrm>
        <a:prstGeom prst="rect">
          <a:avLst/>
        </a:prstGeom>
      </xdr:spPr>
    </xdr:pic>
    <xdr:clientData/>
  </xdr:twoCellAnchor>
  <xdr:twoCellAnchor editAs="oneCell">
    <xdr:from>
      <xdr:col>4</xdr:col>
      <xdr:colOff>330622</xdr:colOff>
      <xdr:row>87</xdr:row>
      <xdr:rowOff>25022</xdr:rowOff>
    </xdr:from>
    <xdr:to>
      <xdr:col>11</xdr:col>
      <xdr:colOff>42985</xdr:colOff>
      <xdr:row>92</xdr:row>
      <xdr:rowOff>30840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2084" y="12304945"/>
          <a:ext cx="3063209" cy="982741"/>
        </a:xfrm>
        <a:prstGeom prst="rect">
          <a:avLst/>
        </a:prstGeom>
      </xdr:spPr>
    </xdr:pic>
    <xdr:clientData/>
  </xdr:twoCellAnchor>
  <xdr:twoCellAnchor editAs="oneCell">
    <xdr:from>
      <xdr:col>5</xdr:col>
      <xdr:colOff>540564</xdr:colOff>
      <xdr:row>80</xdr:row>
      <xdr:rowOff>117883</xdr:rowOff>
    </xdr:from>
    <xdr:to>
      <xdr:col>12</xdr:col>
      <xdr:colOff>32029</xdr:colOff>
      <xdr:row>83</xdr:row>
      <xdr:rowOff>131157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690"/>
        <a:stretch/>
      </xdr:blipFill>
      <xdr:spPr>
        <a:xfrm>
          <a:off x="4389641" y="10971498"/>
          <a:ext cx="2090080" cy="589659"/>
        </a:xfrm>
        <a:prstGeom prst="rect">
          <a:avLst/>
        </a:prstGeom>
      </xdr:spPr>
    </xdr:pic>
    <xdr:clientData/>
  </xdr:twoCellAnchor>
  <xdr:twoCellAnchor editAs="oneCell">
    <xdr:from>
      <xdr:col>4</xdr:col>
      <xdr:colOff>667563</xdr:colOff>
      <xdr:row>80</xdr:row>
      <xdr:rowOff>124123</xdr:rowOff>
    </xdr:from>
    <xdr:to>
      <xdr:col>5</xdr:col>
      <xdr:colOff>582897</xdr:colOff>
      <xdr:row>83</xdr:row>
      <xdr:rowOff>148102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7320" b="-1543"/>
        <a:stretch/>
      </xdr:blipFill>
      <xdr:spPr>
        <a:xfrm>
          <a:off x="3569025" y="10977738"/>
          <a:ext cx="862949" cy="600364"/>
        </a:xfrm>
        <a:prstGeom prst="rect">
          <a:avLst/>
        </a:prstGeom>
      </xdr:spPr>
    </xdr:pic>
    <xdr:clientData/>
  </xdr:twoCellAnchor>
  <xdr:twoCellAnchor editAs="oneCell">
    <xdr:from>
      <xdr:col>14</xdr:col>
      <xdr:colOff>16932</xdr:colOff>
      <xdr:row>1</xdr:row>
      <xdr:rowOff>160630</xdr:rowOff>
    </xdr:from>
    <xdr:to>
      <xdr:col>18</xdr:col>
      <xdr:colOff>245532</xdr:colOff>
      <xdr:row>5</xdr:row>
      <xdr:rowOff>128662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8B86B20-453B-4D49-9317-0D7CBA95D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7199" y="533163"/>
          <a:ext cx="2709333" cy="7469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B1:CY260"/>
  <sheetViews>
    <sheetView showGridLines="0" tabSelected="1" zoomScale="65" zoomScaleNormal="65" workbookViewId="0">
      <selection activeCell="H51" sqref="H51:I51"/>
    </sheetView>
  </sheetViews>
  <sheetFormatPr defaultColWidth="9.140625" defaultRowHeight="15" x14ac:dyDescent="0.25"/>
  <cols>
    <col min="1" max="1" width="0.7109375" style="19" customWidth="1"/>
    <col min="2" max="2" width="15.5703125" style="19" customWidth="1"/>
    <col min="3" max="3" width="10.7109375" style="19" customWidth="1"/>
    <col min="4" max="4" width="14.5703125" style="19" customWidth="1"/>
    <col min="5" max="5" width="13.5703125" style="19" customWidth="1"/>
    <col min="6" max="6" width="11.140625" style="19" customWidth="1"/>
    <col min="7" max="7" width="1.7109375" style="19" customWidth="1"/>
    <col min="8" max="8" width="10" style="19" customWidth="1"/>
    <col min="9" max="9" width="8.28515625" style="19" customWidth="1"/>
    <col min="10" max="10" width="1.5703125" style="19" customWidth="1"/>
    <col min="11" max="11" width="1.7109375" style="19" customWidth="1"/>
    <col min="12" max="12" width="2.85546875" style="19" customWidth="1"/>
    <col min="13" max="13" width="1.28515625" style="19" customWidth="1"/>
    <col min="14" max="14" width="3.5703125" style="19" customWidth="1"/>
    <col min="15" max="15" width="13.140625" style="19" customWidth="1"/>
    <col min="16" max="17" width="7.140625" style="19" customWidth="1"/>
    <col min="18" max="18" width="8" style="19" customWidth="1"/>
    <col min="19" max="19" width="10.140625" style="19" customWidth="1"/>
    <col min="20" max="20" width="1.28515625" style="19" customWidth="1"/>
    <col min="21" max="21" width="6.140625" style="19" customWidth="1"/>
    <col min="22" max="22" width="5.5703125" style="19" customWidth="1"/>
    <col min="23" max="23" width="3.140625" style="19" customWidth="1"/>
    <col min="24" max="24" width="7.42578125" style="19" customWidth="1"/>
    <col min="25" max="25" width="6.85546875" style="19" customWidth="1"/>
    <col min="26" max="26" width="4.28515625" style="19" customWidth="1"/>
    <col min="27" max="27" width="2.42578125" style="19" customWidth="1"/>
    <col min="28" max="28" width="5.7109375" style="19" customWidth="1"/>
    <col min="29" max="29" width="2.85546875" style="19" customWidth="1"/>
    <col min="30" max="45" width="20.7109375" style="19" customWidth="1"/>
    <col min="46" max="46" width="3.42578125" style="19" customWidth="1"/>
    <col min="47" max="47" width="4.28515625" style="22" customWidth="1"/>
    <col min="48" max="48" width="5" style="22" customWidth="1"/>
    <col min="49" max="49" width="6.42578125" style="22" customWidth="1"/>
    <col min="50" max="50" width="20.42578125" style="22" customWidth="1"/>
    <col min="51" max="51" width="13.28515625" style="22" customWidth="1"/>
    <col min="52" max="52" width="20.85546875" style="22" customWidth="1"/>
    <col min="53" max="53" width="19.140625" style="22" customWidth="1"/>
    <col min="54" max="54" width="11.42578125" style="22" customWidth="1"/>
    <col min="55" max="55" width="13.28515625" style="22" customWidth="1"/>
    <col min="56" max="56" width="12.85546875" style="22" customWidth="1"/>
    <col min="57" max="57" width="18.7109375" style="22" customWidth="1"/>
    <col min="58" max="58" width="19.140625" style="22" customWidth="1"/>
    <col min="59" max="59" width="12.42578125" style="22" customWidth="1"/>
    <col min="60" max="60" width="15.28515625" style="22" customWidth="1"/>
    <col min="61" max="61" width="1.42578125" style="22" customWidth="1"/>
    <col min="62" max="62" width="1.7109375" style="22" customWidth="1"/>
    <col min="63" max="63" width="24.42578125" style="22" customWidth="1"/>
    <col min="64" max="64" width="11.140625" style="22" customWidth="1"/>
    <col min="65" max="65" width="13" style="22" customWidth="1"/>
    <col min="66" max="67" width="13.5703125" style="22" customWidth="1"/>
    <col min="68" max="68" width="2" style="22" customWidth="1"/>
    <col min="69" max="69" width="24.7109375" style="22" customWidth="1"/>
    <col min="70" max="70" width="27.42578125" style="22" customWidth="1"/>
    <col min="71" max="72" width="23.140625" style="22" customWidth="1"/>
    <col min="73" max="73" width="15.7109375" style="22" customWidth="1"/>
    <col min="74" max="74" width="16.140625" style="22" customWidth="1"/>
    <col min="75" max="75" width="30.7109375" style="22" customWidth="1"/>
    <col min="76" max="76" width="24" style="22" customWidth="1"/>
    <col min="77" max="77" width="22" style="22" customWidth="1"/>
    <col min="78" max="78" width="17.7109375" style="22" customWidth="1"/>
    <col min="79" max="79" width="23" style="22" customWidth="1"/>
    <col min="80" max="80" width="21.7109375" style="22" customWidth="1"/>
    <col min="81" max="81" width="18.7109375" style="22" customWidth="1"/>
    <col min="82" max="82" width="16.7109375" style="22" customWidth="1"/>
    <col min="83" max="83" width="18.7109375" style="22" customWidth="1"/>
    <col min="84" max="84" width="25.85546875" style="19" customWidth="1"/>
    <col min="85" max="16384" width="9.140625" style="19"/>
  </cols>
  <sheetData>
    <row r="1" spans="2:99" ht="29.25" customHeight="1" x14ac:dyDescent="0.25">
      <c r="B1" s="381" t="s">
        <v>2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48"/>
      <c r="AD1" s="419" t="s">
        <v>183</v>
      </c>
      <c r="AE1" s="419"/>
      <c r="AF1" s="419"/>
      <c r="AG1" s="419"/>
      <c r="AH1" s="419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204"/>
      <c r="AV1" s="204"/>
      <c r="AW1" s="163"/>
      <c r="AX1" s="163"/>
      <c r="AY1" s="163"/>
      <c r="AZ1" s="205" t="s">
        <v>39</v>
      </c>
      <c r="BA1" s="206"/>
      <c r="BB1" s="206"/>
      <c r="BC1" s="205"/>
      <c r="BD1" s="205"/>
      <c r="BE1" s="207" t="s">
        <v>40</v>
      </c>
      <c r="BF1" s="207"/>
      <c r="BG1" s="207"/>
      <c r="BH1" s="207"/>
      <c r="BI1" s="207"/>
      <c r="BJ1" s="207"/>
      <c r="BK1" s="411" t="s">
        <v>41</v>
      </c>
      <c r="BL1" s="411"/>
      <c r="BM1" s="411"/>
      <c r="BN1" s="411"/>
      <c r="BO1" s="411"/>
      <c r="BP1" s="163"/>
      <c r="BQ1" s="163"/>
      <c r="BR1" s="208" t="s">
        <v>49</v>
      </c>
      <c r="BS1" s="209" t="s">
        <v>50</v>
      </c>
      <c r="BT1" s="209" t="s">
        <v>51</v>
      </c>
      <c r="BU1" s="209" t="s">
        <v>52</v>
      </c>
      <c r="BV1" s="209" t="s">
        <v>211</v>
      </c>
      <c r="BW1" s="210" t="s">
        <v>229</v>
      </c>
      <c r="BX1" s="308" t="s">
        <v>53</v>
      </c>
      <c r="BY1" s="308"/>
      <c r="BZ1" s="211"/>
      <c r="CA1" s="211"/>
      <c r="CB1" s="211"/>
      <c r="CC1" s="212"/>
      <c r="CD1" s="15"/>
      <c r="CE1" s="15"/>
      <c r="CF1" s="15"/>
    </row>
    <row r="2" spans="2:99" ht="15.75" customHeight="1" x14ac:dyDescent="0.25"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D2" s="140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2"/>
      <c r="AU2" s="163"/>
      <c r="AV2" s="163"/>
      <c r="AW2" s="163"/>
      <c r="AX2" s="163">
        <f>AZ7+AZ9</f>
        <v>143.11708333333334</v>
      </c>
      <c r="AY2" s="163"/>
      <c r="AZ2" s="163"/>
      <c r="BA2" s="163"/>
      <c r="BB2" s="163"/>
      <c r="BC2" s="163"/>
      <c r="BD2" s="163"/>
      <c r="BE2" s="163"/>
      <c r="BF2" s="213" t="s">
        <v>67</v>
      </c>
      <c r="BG2" s="213"/>
      <c r="BH2" s="213"/>
      <c r="BI2" s="163"/>
      <c r="BJ2" s="163"/>
      <c r="BK2" s="367" t="s">
        <v>37</v>
      </c>
      <c r="BL2" s="367"/>
      <c r="BM2" s="367"/>
      <c r="BN2" s="367"/>
      <c r="BO2" s="367"/>
      <c r="BP2" s="163"/>
      <c r="BQ2" s="163"/>
      <c r="BR2" s="169" t="s">
        <v>48</v>
      </c>
      <c r="BS2" s="212">
        <f>IF($H$23="Width",                IF(OR($H$37=1,$H$37=3),      1,     2),       IF(OR($H$37=1,$H$37=3),       2,    1))</f>
        <v>1</v>
      </c>
      <c r="BT2" s="212">
        <f>IF(H23="Width",          IF(OR(H37=2,H37=4),         1,       IF(H37=3,          2,         0)),       IF(OR(H37=2,H37=4),       2,        IF(H37=3,        1,       0)))</f>
        <v>0</v>
      </c>
      <c r="BU2" s="212">
        <f>IF($H$23="Width",         IF($H$37=3,       1,        IF(H37=4,   2,    0)),        IF($H$37=3,       2,    IF(H37=4,   1,     0)))</f>
        <v>0</v>
      </c>
      <c r="BV2" s="212">
        <f>IF($H$23="Width",         IF($H$37=4,       1,         0),        IF($H$37=4,       2,       0))</f>
        <v>0</v>
      </c>
      <c r="BW2" s="212">
        <f>IF(BY2&gt;H25,1,2)</f>
        <v>2</v>
      </c>
      <c r="BX2" s="309">
        <f>IF(H37=1,        BY32,        IF(H37=2,       BY95,      IF(H37=3,         BY149,             BY189)))</f>
        <v>8</v>
      </c>
      <c r="BY2" s="309"/>
      <c r="BZ2" s="212"/>
      <c r="CA2" s="212"/>
      <c r="CB2" s="212"/>
      <c r="CC2" s="212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</row>
    <row r="3" spans="2:99" ht="15.75" customHeight="1" x14ac:dyDescent="0.3">
      <c r="B3" s="386" t="s">
        <v>11</v>
      </c>
      <c r="C3" s="386"/>
      <c r="D3" s="387"/>
      <c r="E3" s="387"/>
      <c r="F3" s="387"/>
      <c r="G3" s="387"/>
      <c r="H3" s="387"/>
      <c r="I3" s="387"/>
      <c r="J3" s="387"/>
      <c r="K3" s="387"/>
      <c r="L3" s="387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D3" s="143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5"/>
      <c r="AU3" s="163"/>
      <c r="AV3" s="163"/>
      <c r="AW3" s="163"/>
      <c r="AX3" s="163">
        <f>BC67-(((12*BA61*BA63)/1728)*0.4)</f>
        <v>117.82805555555555</v>
      </c>
      <c r="AY3" s="163"/>
      <c r="AZ3" s="163"/>
      <c r="BA3" s="163"/>
      <c r="BB3" s="163"/>
      <c r="BC3" s="163"/>
      <c r="BD3" s="163"/>
      <c r="BE3" s="163"/>
      <c r="BF3" s="169">
        <f>IF(OR(H37=1,H37=3),BS2,BT2)</f>
        <v>1</v>
      </c>
      <c r="BG3" s="169"/>
      <c r="BH3" s="169"/>
      <c r="BI3" s="163"/>
      <c r="BJ3" s="163"/>
      <c r="BK3" s="368" t="s">
        <v>33</v>
      </c>
      <c r="BL3" s="368"/>
      <c r="BM3" s="368"/>
      <c r="BN3" s="368"/>
      <c r="BO3" s="368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214"/>
      <c r="CA3" s="214"/>
      <c r="CB3" s="163"/>
      <c r="CC3" s="215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</row>
    <row r="4" spans="2:99" ht="15" customHeight="1" x14ac:dyDescent="0.3">
      <c r="B4" s="386" t="s">
        <v>10</v>
      </c>
      <c r="C4" s="386"/>
      <c r="D4" s="388"/>
      <c r="E4" s="388"/>
      <c r="F4" s="388"/>
      <c r="G4" s="388"/>
      <c r="H4" s="388"/>
      <c r="I4" s="388"/>
      <c r="J4" s="388"/>
      <c r="K4" s="388"/>
      <c r="L4" s="388"/>
      <c r="M4" s="50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D4" s="143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5"/>
      <c r="AU4" s="163"/>
      <c r="AV4" s="204"/>
      <c r="AW4" s="163"/>
      <c r="AX4" s="380" t="s">
        <v>172</v>
      </c>
      <c r="AY4" s="380"/>
      <c r="AZ4" s="380"/>
      <c r="BA4" s="303" t="s">
        <v>177</v>
      </c>
      <c r="BB4" s="303"/>
      <c r="BC4" s="303"/>
      <c r="BD4" s="303"/>
      <c r="BE4" s="354" t="s">
        <v>175</v>
      </c>
      <c r="BF4" s="354"/>
      <c r="BG4" s="354"/>
      <c r="BH4" s="216" t="s">
        <v>191</v>
      </c>
      <c r="BI4" s="204"/>
      <c r="BJ4" s="204"/>
      <c r="BK4" s="368" t="s">
        <v>35</v>
      </c>
      <c r="BL4" s="368"/>
      <c r="BM4" s="368"/>
      <c r="BN4" s="368"/>
      <c r="BO4" s="368"/>
      <c r="BP4" s="204"/>
      <c r="BQ4" s="355" t="s">
        <v>46</v>
      </c>
      <c r="BR4" s="355"/>
      <c r="BS4" s="355"/>
      <c r="BT4" s="355"/>
      <c r="BU4" s="355"/>
      <c r="BV4" s="355"/>
      <c r="BW4" s="355"/>
      <c r="BX4" s="355"/>
      <c r="BY4" s="355"/>
      <c r="BZ4" s="305"/>
      <c r="CA4" s="305"/>
      <c r="CB4" s="163"/>
      <c r="CC4" s="215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</row>
    <row r="5" spans="2:99" ht="15" customHeight="1" x14ac:dyDescent="0.3">
      <c r="B5" s="386" t="s">
        <v>0</v>
      </c>
      <c r="C5" s="386"/>
      <c r="D5" s="389"/>
      <c r="E5" s="389"/>
      <c r="F5" s="389"/>
      <c r="G5" s="389"/>
      <c r="H5" s="389"/>
      <c r="I5" s="389"/>
      <c r="J5" s="389"/>
      <c r="K5" s="389"/>
      <c r="L5" s="389"/>
      <c r="M5" s="51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15"/>
      <c r="AD5" s="192"/>
      <c r="AE5" s="181"/>
      <c r="AF5" s="146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91"/>
      <c r="AT5" s="15"/>
      <c r="AU5" s="163"/>
      <c r="AV5" s="204"/>
      <c r="AW5" s="303"/>
      <c r="AX5" s="351" t="s">
        <v>184</v>
      </c>
      <c r="AY5" s="351"/>
      <c r="AZ5" s="217">
        <f>IF(H15="Imperial",          IF(H19="SC-18",   101,     IF(H19="SC-44",            89.5,            IF(H19="SC-34E",           103,           101))),                       IF(H19="SC-18",   2565,                 IF(H19="SC-44",          2273,               IF(H19="SC-34E",          2616,         2565))))</f>
        <v>103</v>
      </c>
      <c r="BA5" s="352" t="s">
        <v>186</v>
      </c>
      <c r="BB5" s="352"/>
      <c r="BC5" s="352"/>
      <c r="BD5" s="218">
        <f>IF(H15="Imperial",              IF(H19="SC-18",     101,             IF(H19="SC-44",            89.5,            IF(H19="SC-34E",           103,           101))),            IF(H19="SC-18",           2565,          IF(H19="SC-44",          2273,               IF(H19="SC-34E",          2616,         2565))))</f>
        <v>103</v>
      </c>
      <c r="BE5" s="351" t="s">
        <v>187</v>
      </c>
      <c r="BF5" s="351"/>
      <c r="BG5" s="219">
        <f>AY65</f>
        <v>97</v>
      </c>
      <c r="BH5" s="216" t="s">
        <v>189</v>
      </c>
      <c r="BI5" s="204"/>
      <c r="BJ5" s="204"/>
      <c r="BK5" s="368" t="s">
        <v>36</v>
      </c>
      <c r="BL5" s="368"/>
      <c r="BM5" s="368"/>
      <c r="BN5" s="368"/>
      <c r="BO5" s="368"/>
      <c r="BP5" s="204"/>
      <c r="BQ5" s="355"/>
      <c r="BR5" s="355"/>
      <c r="BS5" s="355"/>
      <c r="BT5" s="355"/>
      <c r="BU5" s="355"/>
      <c r="BV5" s="355"/>
      <c r="BW5" s="355"/>
      <c r="BX5" s="355"/>
      <c r="BY5" s="355"/>
      <c r="BZ5" s="305"/>
      <c r="CA5" s="305"/>
      <c r="CB5" s="163"/>
      <c r="CC5" s="220"/>
      <c r="CF5" s="5"/>
      <c r="CG5" s="5"/>
      <c r="CH5" s="5"/>
      <c r="CI5" s="5"/>
      <c r="CJ5" s="5"/>
      <c r="CK5" s="5"/>
      <c r="CL5" s="5"/>
      <c r="CM5" s="5"/>
      <c r="CN5" s="5"/>
    </row>
    <row r="6" spans="2:99" ht="15" customHeight="1" x14ac:dyDescent="0.3">
      <c r="B6" s="386" t="s">
        <v>1</v>
      </c>
      <c r="C6" s="386"/>
      <c r="D6" s="389"/>
      <c r="E6" s="389"/>
      <c r="F6" s="389"/>
      <c r="G6" s="389"/>
      <c r="H6" s="389"/>
      <c r="I6" s="389"/>
      <c r="J6" s="389"/>
      <c r="K6" s="389"/>
      <c r="L6" s="389"/>
      <c r="M6" s="51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11"/>
      <c r="AD6" s="192"/>
      <c r="AE6" s="181"/>
      <c r="AF6" s="146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91"/>
      <c r="AT6" s="11"/>
      <c r="AU6" s="169"/>
      <c r="AV6" s="221"/>
      <c r="AW6" s="303"/>
      <c r="AX6" s="222"/>
      <c r="AY6" s="222"/>
      <c r="AZ6" s="223"/>
      <c r="BA6" s="224"/>
      <c r="BB6" s="224"/>
      <c r="BC6" s="224"/>
      <c r="BD6" s="225"/>
      <c r="BE6" s="222"/>
      <c r="BF6" s="222"/>
      <c r="BG6" s="219"/>
      <c r="BH6" s="216"/>
      <c r="BI6" s="221"/>
      <c r="BJ6" s="221"/>
      <c r="BK6" s="221"/>
      <c r="BL6" s="221"/>
      <c r="BM6" s="221"/>
      <c r="BN6" s="221"/>
      <c r="BO6" s="163"/>
      <c r="BP6" s="163"/>
      <c r="BQ6" s="359" t="s">
        <v>119</v>
      </c>
      <c r="BR6" s="359"/>
      <c r="BS6" s="359"/>
      <c r="BT6" s="359"/>
      <c r="BU6" s="359"/>
      <c r="BV6" s="359"/>
      <c r="BW6" s="359"/>
      <c r="BX6" s="359"/>
      <c r="BY6" s="359"/>
      <c r="BZ6" s="305"/>
      <c r="CA6" s="305"/>
      <c r="CB6" s="163"/>
      <c r="CC6" s="226"/>
      <c r="CF6" s="7"/>
      <c r="CG6" s="7"/>
      <c r="CH6" s="7"/>
      <c r="CI6" s="7"/>
      <c r="CJ6" s="7"/>
      <c r="CK6" s="7"/>
      <c r="CL6" s="7"/>
      <c r="CM6" s="7"/>
      <c r="CN6" s="7"/>
    </row>
    <row r="7" spans="2:99" s="22" customFormat="1" ht="15" customHeight="1" x14ac:dyDescent="0.3"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N7" s="49"/>
      <c r="O7" s="410" t="s">
        <v>223</v>
      </c>
      <c r="P7" s="410"/>
      <c r="Q7" s="410"/>
      <c r="R7" s="410"/>
      <c r="S7" s="410"/>
      <c r="T7" s="410"/>
      <c r="U7" s="410"/>
      <c r="V7" s="410"/>
      <c r="W7" s="410"/>
      <c r="X7" s="410"/>
      <c r="Y7" s="410"/>
      <c r="Z7" s="410"/>
      <c r="AA7" s="410"/>
      <c r="AB7" s="49"/>
      <c r="AC7" s="37"/>
      <c r="AD7" s="340"/>
      <c r="AE7" s="321"/>
      <c r="AF7" s="321"/>
      <c r="AG7" s="321"/>
      <c r="AH7" s="321"/>
      <c r="AI7" s="321"/>
      <c r="AJ7" s="321"/>
      <c r="AK7" s="321"/>
      <c r="AL7" s="321"/>
      <c r="AM7" s="321"/>
      <c r="AN7" s="321"/>
      <c r="AO7" s="321"/>
      <c r="AP7" s="321"/>
      <c r="AQ7" s="321"/>
      <c r="AR7" s="321"/>
      <c r="AS7" s="339"/>
      <c r="AT7" s="37"/>
      <c r="AU7" s="227"/>
      <c r="AV7" s="228"/>
      <c r="AW7" s="303"/>
      <c r="AX7" s="222" t="s">
        <v>185</v>
      </c>
      <c r="AY7" s="222"/>
      <c r="AZ7" s="217">
        <f>IF(H15="Imperial",           IF(H19="SC-18",            23.64,     IF(H19="SC-44",               112.19,       IF(H19="SC-34E",          82.4,             79.24))),          IF(H19="SC-18",      0.67,    IF(H19="SC-44",               3.18,       IF(H19="SC-34E",          2.33,             2.24))))</f>
        <v>82.4</v>
      </c>
      <c r="BA7" s="352" t="s">
        <v>192</v>
      </c>
      <c r="BB7" s="352"/>
      <c r="BC7" s="352"/>
      <c r="BD7" s="218">
        <f>AZ7*2</f>
        <v>164.8</v>
      </c>
      <c r="BE7" s="351" t="s">
        <v>192</v>
      </c>
      <c r="BF7" s="351"/>
      <c r="BG7" s="219">
        <f>AY67*2</f>
        <v>155.19999999999999</v>
      </c>
      <c r="BH7" s="216">
        <f>IF(H15="Imperial",           (((BA61*(BA63)*(AZ5+H55))/1728)-AZ7)*(H33/100),                    (((BA61*(BA63)*(AZ5+H55))/1000000000)-AZ7)*(H33/100))</f>
        <v>51.533055555555556</v>
      </c>
      <c r="BI7" s="228"/>
      <c r="BJ7" s="228"/>
      <c r="BK7" s="369" t="s">
        <v>34</v>
      </c>
      <c r="BL7" s="369"/>
      <c r="BM7" s="369"/>
      <c r="BN7" s="369"/>
      <c r="BO7" s="369"/>
      <c r="BP7" s="228"/>
      <c r="BQ7" s="359"/>
      <c r="BR7" s="359"/>
      <c r="BS7" s="359"/>
      <c r="BT7" s="359"/>
      <c r="BU7" s="359"/>
      <c r="BV7" s="359"/>
      <c r="BW7" s="359"/>
      <c r="BX7" s="359"/>
      <c r="BY7" s="359"/>
      <c r="BZ7" s="341" t="s">
        <v>98</v>
      </c>
      <c r="CA7" s="341" t="s">
        <v>99</v>
      </c>
      <c r="CB7" s="163"/>
      <c r="CC7" s="214"/>
      <c r="CF7" s="15"/>
      <c r="CG7" s="6"/>
      <c r="CH7" s="6"/>
      <c r="CI7" s="6"/>
      <c r="CJ7" s="6"/>
      <c r="CK7" s="6"/>
      <c r="CL7" s="7"/>
      <c r="CM7" s="7"/>
      <c r="CN7" s="7"/>
      <c r="CO7" s="7"/>
      <c r="CP7" s="7"/>
      <c r="CQ7" s="7"/>
      <c r="CR7" s="7"/>
      <c r="CS7" s="7"/>
      <c r="CT7" s="7"/>
      <c r="CU7" s="7"/>
    </row>
    <row r="8" spans="2:99" s="22" customFormat="1" ht="2.25" customHeight="1" x14ac:dyDescent="0.3"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N8" s="50"/>
      <c r="O8" s="410"/>
      <c r="P8" s="410"/>
      <c r="Q8" s="410"/>
      <c r="R8" s="410"/>
      <c r="S8" s="410"/>
      <c r="T8" s="410"/>
      <c r="U8" s="410"/>
      <c r="V8" s="410"/>
      <c r="W8" s="410"/>
      <c r="X8" s="410"/>
      <c r="Y8" s="410"/>
      <c r="Z8" s="410"/>
      <c r="AA8" s="410"/>
      <c r="AB8" s="50"/>
      <c r="AC8" s="11"/>
      <c r="AD8" s="340"/>
      <c r="AE8" s="321"/>
      <c r="AF8" s="321"/>
      <c r="AG8" s="321"/>
      <c r="AH8" s="321"/>
      <c r="AI8" s="321"/>
      <c r="AJ8" s="321"/>
      <c r="AK8" s="321"/>
      <c r="AL8" s="321"/>
      <c r="AM8" s="321"/>
      <c r="AN8" s="321"/>
      <c r="AO8" s="321"/>
      <c r="AP8" s="321"/>
      <c r="AQ8" s="321"/>
      <c r="AR8" s="321"/>
      <c r="AS8" s="339"/>
      <c r="AT8" s="11"/>
      <c r="AU8" s="169"/>
      <c r="AV8" s="221"/>
      <c r="AW8" s="303"/>
      <c r="AX8" s="223"/>
      <c r="AY8" s="223"/>
      <c r="AZ8" s="223"/>
      <c r="BA8" s="225"/>
      <c r="BB8" s="225"/>
      <c r="BC8" s="225"/>
      <c r="BD8" s="225"/>
      <c r="BE8" s="229"/>
      <c r="BF8" s="229"/>
      <c r="BG8" s="229"/>
      <c r="BH8" s="216"/>
      <c r="BI8" s="230"/>
      <c r="BJ8" s="221"/>
      <c r="BK8" s="369"/>
      <c r="BL8" s="369"/>
      <c r="BM8" s="369"/>
      <c r="BN8" s="369"/>
      <c r="BO8" s="369"/>
      <c r="BP8" s="221"/>
      <c r="BQ8" s="342" t="str">
        <f>IF($H$15="Imperial",       "Required Cubic Feet",       "Required Cubic Meters")</f>
        <v>Required Cubic Feet</v>
      </c>
      <c r="BR8" s="342" t="str">
        <f>IF($H$15="Imperial",       "Required Cubic Inches",       "Required Cubic mm")</f>
        <v>Required Cubic Inches</v>
      </c>
      <c r="BS8" s="342" t="str">
        <f>IF(BS2=1,       "Constraint Dimension (Width)",       "Constraint Dimension (Length)")</f>
        <v>Constraint Dimension (Width)</v>
      </c>
      <c r="BT8" s="342" t="str">
        <f>IF(BS2=1,       "(Constraint Width-2endR Width)/midR Width",       "(Constriant Length-2endC length)/midC length")</f>
        <v>(Constraint Width-2endR Width)/midR Width</v>
      </c>
      <c r="BU8" s="342"/>
      <c r="BV8" s="342" t="str">
        <f>IF(BS2=1,       "RoundDown for Maximum Number of midR",       "RoundDown for Maximum Number of midCs per Row")</f>
        <v>RoundDown for Maximum Number of midR</v>
      </c>
      <c r="BW8" s="342"/>
      <c r="BX8" s="342" t="str">
        <f>IF(BS2=1,       "Max suggested Number of Rows by constraint",      "Maximum Number of Chambers per Row")</f>
        <v>Max suggested Number of Rows by constraint</v>
      </c>
      <c r="BY8" s="342">
        <f>IF(H37&lt;3,     0,             IF(BS2=1,       "Max suggested Number of Rows by storage",      "Maximum Number of Chambers per Row"))</f>
        <v>0</v>
      </c>
      <c r="BZ8" s="341"/>
      <c r="CA8" s="341"/>
      <c r="CB8" s="163"/>
      <c r="CC8" s="214"/>
      <c r="CF8" s="15"/>
      <c r="CG8" s="9"/>
      <c r="CH8" s="9"/>
      <c r="CI8" s="31"/>
      <c r="CJ8" s="31"/>
      <c r="CK8" s="9"/>
      <c r="CL8" s="3"/>
      <c r="CM8" s="3"/>
      <c r="CN8" s="3"/>
      <c r="CO8" s="3"/>
      <c r="CP8" s="3"/>
      <c r="CQ8" s="3"/>
      <c r="CR8" s="3"/>
      <c r="CS8" s="3"/>
      <c r="CT8" s="12"/>
      <c r="CU8" s="12"/>
    </row>
    <row r="9" spans="2:99" s="22" customFormat="1" ht="12.75" customHeight="1" x14ac:dyDescent="0.25">
      <c r="C9" s="322" t="s">
        <v>222</v>
      </c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8"/>
      <c r="AA9" s="38"/>
      <c r="AB9" s="38"/>
      <c r="AC9" s="11"/>
      <c r="AD9" s="340"/>
      <c r="AE9" s="321"/>
      <c r="AF9" s="321"/>
      <c r="AG9" s="321"/>
      <c r="AH9" s="321"/>
      <c r="AI9" s="321"/>
      <c r="AJ9" s="321"/>
      <c r="AK9" s="321"/>
      <c r="AL9" s="321"/>
      <c r="AM9" s="321"/>
      <c r="AN9" s="321"/>
      <c r="AO9" s="321"/>
      <c r="AP9" s="321"/>
      <c r="AQ9" s="321"/>
      <c r="AR9" s="321"/>
      <c r="AS9" s="339"/>
      <c r="AT9" s="11"/>
      <c r="AU9" s="169"/>
      <c r="AV9" s="221"/>
      <c r="AW9" s="303" t="s">
        <v>120</v>
      </c>
      <c r="AX9" s="352" t="s">
        <v>189</v>
      </c>
      <c r="AY9" s="352"/>
      <c r="AZ9" s="231">
        <f>IF(H15="Imperial",             (((((AZ5+H55)*(AY63+H55+(H45/2))*AZ61)/1728)-AZ7)*(H33/100)),                    (((((AZ5+H55)*(AY63+H55+(H45/2))*AZ61)/1000000000)-AZ7)*(H33/100)))</f>
        <v>60.717083333333335</v>
      </c>
      <c r="BA9" s="352" t="s">
        <v>189</v>
      </c>
      <c r="BB9" s="352"/>
      <c r="BC9" s="352"/>
      <c r="BD9" s="231">
        <f>2*AZ9</f>
        <v>121.43416666666667</v>
      </c>
      <c r="BE9" s="232" t="s">
        <v>176</v>
      </c>
      <c r="BF9" s="233"/>
      <c r="BG9" s="231">
        <f>2*AZ67</f>
        <v>115.49916666666668</v>
      </c>
      <c r="BH9" s="216" t="s">
        <v>190</v>
      </c>
      <c r="BI9" s="230"/>
      <c r="BJ9" s="221"/>
      <c r="BK9" s="164" t="str">
        <f>IF($H$15="Imperial",          "Imperial (inches and ft)",          "Metric (mm and meters)")</f>
        <v>Imperial (inches and ft)</v>
      </c>
      <c r="BL9" s="356" t="str">
        <f>IF($H$23="Width",         "by system width",         "by system length")</f>
        <v>by system width</v>
      </c>
      <c r="BM9" s="356"/>
      <c r="BN9" s="356"/>
      <c r="BO9" s="356"/>
      <c r="BP9" s="234"/>
      <c r="BQ9" s="342"/>
      <c r="BR9" s="342"/>
      <c r="BS9" s="342"/>
      <c r="BT9" s="342"/>
      <c r="BU9" s="342"/>
      <c r="BV9" s="342"/>
      <c r="BW9" s="342"/>
      <c r="BX9" s="342"/>
      <c r="BY9" s="342"/>
      <c r="BZ9" s="341"/>
      <c r="CA9" s="341"/>
      <c r="CB9" s="235"/>
      <c r="CC9" s="235"/>
      <c r="CF9" s="10"/>
      <c r="CG9" s="9"/>
      <c r="CH9" s="9"/>
      <c r="CI9" s="31"/>
      <c r="CJ9" s="31"/>
      <c r="CK9" s="9"/>
      <c r="CL9" s="3"/>
      <c r="CM9" s="3"/>
      <c r="CN9" s="3"/>
      <c r="CO9" s="3"/>
      <c r="CP9" s="3"/>
      <c r="CQ9" s="3"/>
      <c r="CR9" s="3"/>
      <c r="CS9" s="3"/>
      <c r="CT9" s="12"/>
      <c r="CU9" s="12"/>
    </row>
    <row r="10" spans="2:99" s="22" customFormat="1" ht="4.5" customHeight="1" x14ac:dyDescent="0.25">
      <c r="B10" s="38"/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8"/>
      <c r="AA10" s="38"/>
      <c r="AB10" s="38"/>
      <c r="AC10" s="11"/>
      <c r="AD10" s="340"/>
      <c r="AE10" s="321"/>
      <c r="AF10" s="321"/>
      <c r="AG10" s="321"/>
      <c r="AH10" s="321"/>
      <c r="AI10" s="321"/>
      <c r="AJ10" s="321"/>
      <c r="AK10" s="321"/>
      <c r="AL10" s="321"/>
      <c r="AM10" s="321"/>
      <c r="AN10" s="321"/>
      <c r="AO10" s="321"/>
      <c r="AP10" s="321"/>
      <c r="AQ10" s="321"/>
      <c r="AR10" s="321"/>
      <c r="AS10" s="339"/>
      <c r="AT10" s="11"/>
      <c r="AU10" s="169"/>
      <c r="AV10" s="205"/>
      <c r="AW10" s="303"/>
      <c r="AX10" s="236"/>
      <c r="AY10" s="233"/>
      <c r="AZ10" s="231"/>
      <c r="BA10" s="222"/>
      <c r="BB10" s="168"/>
      <c r="BC10" s="237"/>
      <c r="BD10" s="231"/>
      <c r="BE10" s="236"/>
      <c r="BF10" s="233"/>
      <c r="BG10" s="231"/>
      <c r="BH10" s="238"/>
      <c r="BI10" s="230"/>
      <c r="BJ10" s="205"/>
      <c r="BK10" s="370" t="s">
        <v>29</v>
      </c>
      <c r="BL10" s="353" t="s">
        <v>32</v>
      </c>
      <c r="BM10" s="302" t="s">
        <v>26</v>
      </c>
      <c r="BN10" s="302" t="s">
        <v>27</v>
      </c>
      <c r="BO10" s="302" t="s">
        <v>28</v>
      </c>
      <c r="BP10" s="239"/>
      <c r="BQ10" s="342"/>
      <c r="BR10" s="342"/>
      <c r="BS10" s="342"/>
      <c r="BT10" s="342"/>
      <c r="BU10" s="342"/>
      <c r="BV10" s="342"/>
      <c r="BW10" s="342"/>
      <c r="BX10" s="342"/>
      <c r="BY10" s="342"/>
      <c r="BZ10" s="345">
        <f>IF(BS2=1,        IF(H15="Imperial",        IF(BX12=1,        (AZ63+H55-(H45/2))/12,      ((2*AZ63)+((BX12-2)*BA63))/12),     IF(BX12=1,         (AZ63+H55-(H45/2))/1000,      ((2*AZ63)+((BX12-2)*BA63))/1000)),                        IF(H15="Imperial",       IF(BU20=1,         (AZ63+H55-(H45/2))/12,      ((2*AZ63)+((BU20-2)*BA63))/12),                IF(BU20=1,          (AZ63+H55-(H45/2))/1000,      ((2*AZ63)+((BU20-2)*BA63))/1000)))</f>
        <v>47.25</v>
      </c>
      <c r="CA10" s="345" t="str">
        <f>IF(BS2=1,   "N/A",   IF(H15="Imperial",      IF(BX12=1,    (AZ5+H55+H55)/12,      ((2*AZ65)+((BX12-2)*BE65))/12),         IF(BX12=1,     (AZ5+H55+H55)/1000,      ((2*AZ65)+((BX12-2)*BE65))/1000)))</f>
        <v>N/A</v>
      </c>
      <c r="CB10" s="235"/>
      <c r="CC10" s="235"/>
      <c r="CF10" s="10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32"/>
      <c r="CR10" s="32"/>
      <c r="CS10" s="32"/>
      <c r="CT10" s="29"/>
      <c r="CU10" s="29"/>
    </row>
    <row r="11" spans="2:99" s="22" customFormat="1" ht="15" customHeight="1" x14ac:dyDescent="0.25">
      <c r="B11" s="5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52"/>
      <c r="AA11" s="52"/>
      <c r="AB11" s="52"/>
      <c r="AC11" s="11"/>
      <c r="AD11" s="340"/>
      <c r="AE11" s="321"/>
      <c r="AF11" s="321"/>
      <c r="AG11" s="321"/>
      <c r="AH11" s="321"/>
      <c r="AI11" s="321"/>
      <c r="AJ11" s="321"/>
      <c r="AK11" s="321"/>
      <c r="AL11" s="321"/>
      <c r="AM11" s="321"/>
      <c r="AN11" s="321"/>
      <c r="AO11" s="321"/>
      <c r="AP11" s="321"/>
      <c r="AQ11" s="321"/>
      <c r="AR11" s="321"/>
      <c r="AS11" s="339"/>
      <c r="AT11" s="11"/>
      <c r="AU11" s="169"/>
      <c r="AV11" s="205"/>
      <c r="AW11" s="303"/>
      <c r="AX11" s="236" t="s">
        <v>171</v>
      </c>
      <c r="AY11" s="233"/>
      <c r="AZ11" s="231">
        <f>IF(H15="Imperial",                                        (((AZ63*H55*AZ61)/1728)*(H33/100))+((((H55-(H45/2))*(AZ5+H55+H55)*AZ61)/1728)*(H33/100)),                                                                                                                                                 (((AZ63*H55*AZ61)/1000000000)*(H33/100))+((((H55-(H45/2))*(AZ5+H55+H55)*AZ61)/1000000000)*(H33/100)))</f>
        <v>19.917361111111113</v>
      </c>
      <c r="BA11" s="351" t="s">
        <v>171</v>
      </c>
      <c r="BB11" s="351"/>
      <c r="BC11" s="351"/>
      <c r="BD11" s="231">
        <f>IF(H15="Imperial",         2*(((AZ61*AZ63*H55)/1728)*(H33/100)),         2*(((AZ61*AZ63*H55)/1000000000)*(H33/100)))</f>
        <v>19.55</v>
      </c>
      <c r="BE11" s="236" t="s">
        <v>171</v>
      </c>
      <c r="BF11" s="233"/>
      <c r="BG11" s="231">
        <f>IF(H15="Imperial",          2*(((AZ61*(H55-(H45/2))*(AY65+H55))/1728)*(H33/100)),                2*(((AZ61*(H55-(H45/2))*(AY65+H55))/1000000000)*(H33/100)))</f>
        <v>17.409722222222225</v>
      </c>
      <c r="BH11" s="216">
        <f>IF(H15="Imperial",                (((BA61*(BA63)*H55)/1728)*(H33/100)),                     (((BA61*(BA63)*H55)/1000000000)*(H33/100)))</f>
        <v>8.8166666666666682</v>
      </c>
      <c r="BI11" s="230"/>
      <c r="BJ11" s="205"/>
      <c r="BK11" s="370"/>
      <c r="BL11" s="353"/>
      <c r="BM11" s="302"/>
      <c r="BN11" s="302"/>
      <c r="BO11" s="302"/>
      <c r="BP11" s="209"/>
      <c r="BQ11" s="342"/>
      <c r="BR11" s="342"/>
      <c r="BS11" s="342"/>
      <c r="BT11" s="342"/>
      <c r="BU11" s="342"/>
      <c r="BV11" s="342"/>
      <c r="BW11" s="342"/>
      <c r="BX11" s="342"/>
      <c r="BY11" s="342"/>
      <c r="BZ11" s="345"/>
      <c r="CA11" s="345"/>
      <c r="CB11" s="235"/>
      <c r="CC11" s="235"/>
      <c r="CF11" s="194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32"/>
      <c r="CR11" s="32"/>
      <c r="CS11" s="32"/>
      <c r="CT11" s="29"/>
      <c r="CU11" s="29"/>
    </row>
    <row r="12" spans="2:99" s="22" customFormat="1" ht="4.5" customHeight="1" x14ac:dyDescent="0.25">
      <c r="B12" s="373" t="s">
        <v>9</v>
      </c>
      <c r="C12" s="374"/>
      <c r="D12" s="374"/>
      <c r="E12" s="374"/>
      <c r="F12" s="374"/>
      <c r="G12" s="374"/>
      <c r="H12" s="374"/>
      <c r="I12" s="374"/>
      <c r="J12" s="374"/>
      <c r="K12" s="374"/>
      <c r="L12" s="375"/>
      <c r="N12" s="373" t="s">
        <v>13</v>
      </c>
      <c r="O12" s="374"/>
      <c r="P12" s="374"/>
      <c r="Q12" s="374"/>
      <c r="R12" s="374"/>
      <c r="S12" s="374"/>
      <c r="T12" s="374"/>
      <c r="U12" s="374"/>
      <c r="V12" s="374"/>
      <c r="W12" s="374"/>
      <c r="X12" s="374"/>
      <c r="Y12" s="374"/>
      <c r="Z12" s="374"/>
      <c r="AA12" s="374"/>
      <c r="AB12" s="375"/>
      <c r="AC12" s="11"/>
      <c r="AD12" s="340"/>
      <c r="AE12" s="321"/>
      <c r="AF12" s="321"/>
      <c r="AG12" s="321"/>
      <c r="AH12" s="321"/>
      <c r="AI12" s="321"/>
      <c r="AJ12" s="321"/>
      <c r="AK12" s="321"/>
      <c r="AL12" s="321"/>
      <c r="AM12" s="321"/>
      <c r="AN12" s="321"/>
      <c r="AO12" s="321"/>
      <c r="AP12" s="321"/>
      <c r="AQ12" s="321"/>
      <c r="AR12" s="321"/>
      <c r="AS12" s="339"/>
      <c r="AT12" s="11"/>
      <c r="AU12" s="169"/>
      <c r="AV12" s="205"/>
      <c r="AW12" s="303"/>
      <c r="AX12" s="233"/>
      <c r="AY12" s="233"/>
      <c r="AZ12" s="231"/>
      <c r="BA12" s="233"/>
      <c r="BB12" s="163"/>
      <c r="BC12" s="233"/>
      <c r="BD12" s="231"/>
      <c r="BE12" s="233"/>
      <c r="BF12" s="233"/>
      <c r="BG12" s="231"/>
      <c r="BH12" s="216"/>
      <c r="BI12" s="240"/>
      <c r="BJ12" s="205"/>
      <c r="BK12" s="370"/>
      <c r="BL12" s="353"/>
      <c r="BM12" s="302"/>
      <c r="BN12" s="302"/>
      <c r="BO12" s="302"/>
      <c r="BP12" s="169"/>
      <c r="BQ12" s="305">
        <f>IF((H17-BO96-BO152-BO192)&lt;=0,       0,          IF($H$37=1,       $H$17,           IF($H$37=2,      $H$17-BO96,          IF($H$37=3,       $H$17-BO96-BO152,    IF(H37=4,     H17-BO96-BO152-BO192,    0)))))</f>
        <v>10000</v>
      </c>
      <c r="BR12" s="348">
        <f>IF($H$15="Imperial",         BQ12*1728,        BQ12*1000000000)</f>
        <v>17280000</v>
      </c>
      <c r="BS12" s="305">
        <f>IF(H37=1,    H25,        IF(H37=2,         IF(BS2=1,        BO97,        BO98),      IF(H37=3,         IF(BS2=1,        BO154,       BO153),         IF(BS2=1,       BO193,        BO194))))</f>
        <v>50</v>
      </c>
      <c r="BT12" s="305">
        <f>IF($H$15="Imperial",                    IF(BS2=1,              ((BS12*12)-(2*AZ63))/BA63,                                    ((BS12*12)-(2*AZ65))/BE65),                                                                                                                                                                            IF(BS2=1,                                                                                                                     ((BS12*1000)-(2*AZ63))/BA63,                                ((BS12*1000)-(2*AZ65))/BE65))</f>
        <v>6.4782608695652177</v>
      </c>
      <c r="BU12" s="305"/>
      <c r="BV12" s="305">
        <f>IF(BT12&lt;0,      0,      IF(BS2=1,     IF(BQ12&lt;=BD13,    0,      IF((ROUNDUP(((BQ12-BD13)/BH15),0)&lt;(ROUNDDOWN(BT12,0))),     ROUNDUP((BQ12-BD13)/BH15,0),      ROUNDDOWN(BT12,0))),    ROUNDDOWN(BT12,0)))</f>
        <v>6</v>
      </c>
      <c r="BW12" s="305"/>
      <c r="BX12" s="305">
        <f>IF(BQ12&lt;=AZ13,     1,       IF(H15="Imperial",             IF(BS2=1,         IF(BS12&lt;(((2*AZ63)/12)),      1,     BV12+2),           IF(BS12&lt;(((2*AZ65)/12)),      1,    BV12+2)),                                                                                       IF(BS2=1,         IF(BS12&lt;(((2*AZ63)/1000)),      1,     BV12+2),           IF(BS12&lt;(((2*AZ65)/1000)),      1,    BV12+2))))</f>
        <v>8</v>
      </c>
      <c r="BY12" s="305">
        <f>IF(BQ12&lt;=AZ13,     1,          IF(BS2=1,           IF(BQ12&lt;=BD13,       2,          (ROUNDUP(((BQ12-BD13)/BH15),0))+2),            IF(BQ12&lt;=BG13,              2,                IF(H15="Imperial",                                                                               (ROUNDUP(((BQ12-BG13)/(BG67+(((BE61*(H55-(H45/2))*BE65)/1728)*(H33/100)))),0))+2,        (ROUNDUP(((BQ12-BG13)/(BG67+(((BE61*(H55-(H45/2))*BE65)/1000000000)*(H33/100)))),0))+2))))</f>
        <v>70</v>
      </c>
      <c r="BZ12" s="309"/>
      <c r="CA12" s="309"/>
      <c r="CB12" s="235"/>
      <c r="CC12" s="235"/>
      <c r="CF12" s="9"/>
      <c r="CG12" s="9"/>
      <c r="CH12" s="11"/>
      <c r="CI12" s="11"/>
      <c r="CJ12" s="33"/>
      <c r="CK12" s="33"/>
      <c r="CL12" s="33"/>
      <c r="CM12" s="29"/>
      <c r="CN12" s="29"/>
    </row>
    <row r="13" spans="2:99" s="22" customFormat="1" ht="16.5" customHeight="1" x14ac:dyDescent="0.25">
      <c r="B13" s="376"/>
      <c r="C13" s="377"/>
      <c r="D13" s="377"/>
      <c r="E13" s="377"/>
      <c r="F13" s="377"/>
      <c r="G13" s="377"/>
      <c r="H13" s="377"/>
      <c r="I13" s="377"/>
      <c r="J13" s="377"/>
      <c r="K13" s="377"/>
      <c r="L13" s="378"/>
      <c r="N13" s="376"/>
      <c r="O13" s="377"/>
      <c r="P13" s="377"/>
      <c r="Q13" s="377"/>
      <c r="R13" s="377"/>
      <c r="S13" s="377"/>
      <c r="T13" s="377"/>
      <c r="U13" s="377"/>
      <c r="V13" s="377"/>
      <c r="W13" s="377"/>
      <c r="X13" s="377"/>
      <c r="Y13" s="377"/>
      <c r="Z13" s="377"/>
      <c r="AA13" s="377"/>
      <c r="AB13" s="378"/>
      <c r="AC13" s="11"/>
      <c r="AD13" s="340"/>
      <c r="AE13" s="321"/>
      <c r="AF13" s="321"/>
      <c r="AG13" s="321"/>
      <c r="AH13" s="321"/>
      <c r="AI13" s="321"/>
      <c r="AJ13" s="321"/>
      <c r="AK13" s="321"/>
      <c r="AL13" s="321"/>
      <c r="AM13" s="321"/>
      <c r="AN13" s="321"/>
      <c r="AO13" s="321"/>
      <c r="AP13" s="321"/>
      <c r="AQ13" s="321"/>
      <c r="AR13" s="321"/>
      <c r="AS13" s="339"/>
      <c r="AT13" s="11"/>
      <c r="AU13" s="169"/>
      <c r="AV13" s="205"/>
      <c r="AW13" s="303"/>
      <c r="AX13" s="347" t="s">
        <v>173</v>
      </c>
      <c r="AY13" s="347"/>
      <c r="AZ13" s="241">
        <f>AZ9+AZ11+AZ7</f>
        <v>163.03444444444446</v>
      </c>
      <c r="BA13" s="347" t="s">
        <v>173</v>
      </c>
      <c r="BB13" s="347"/>
      <c r="BC13" s="347"/>
      <c r="BD13" s="241">
        <f>BD9+BD11+BD7</f>
        <v>305.78416666666669</v>
      </c>
      <c r="BE13" s="347" t="s">
        <v>173</v>
      </c>
      <c r="BF13" s="347"/>
      <c r="BG13" s="241">
        <f>BG9+BG11+BG7</f>
        <v>288.10888888888888</v>
      </c>
      <c r="BH13" s="216" t="s">
        <v>173</v>
      </c>
      <c r="BI13" s="240"/>
      <c r="BJ13" s="205"/>
      <c r="BK13" s="370"/>
      <c r="BL13" s="242">
        <f>IF(BQ12=0,      0,           IF(BT57=1,       IF(BT65=1,     1,      2),    IF(BT61=0,          IF(BT65=1,         2,         4),           IF(BT59=1,           IF(BT63=1,          3,          4),       4))))</f>
        <v>4</v>
      </c>
      <c r="BM13" s="242">
        <f>IF(BL13=1,                                AZ9+AZ11,                                     IF(BL13=2,                                     IF(BO33=1,                                   BG9+BG11,                                    BD9+BD11),                                                                                                   IF(BL13=3,                        IF(H15="Imperial",                    BD9+AZ9+(((AZ61*(AZ5+H55)*(H55-(H45/2)))/1728)*(H33/100))+(((AZ61*(AZ63-H55)*H55)/1728)*(H33/100)),                                                                                                       BD9+AZ9+(((AZ61*(AZ5+H55)*(H55-(H45/2)))/1000000000)*(H33/100))+(((AZ61*(AZ63-H55)*H55)/1000000000)*(H33/100))),                   AZ67*4)))</f>
        <v>230.99833333333336</v>
      </c>
      <c r="BN13" s="242">
        <f>IF(BL13=1,                 AZ7,                IF(BL13=2,               IF(BO33=1,            BG7,             BD7),          IF(BL13=3,         (2*AY67)+AZ7,             4*AY67)))</f>
        <v>310.39999999999998</v>
      </c>
      <c r="BO13" s="242">
        <f>BM13+BN13</f>
        <v>541.39833333333331</v>
      </c>
      <c r="BP13" s="169"/>
      <c r="BQ13" s="305"/>
      <c r="BR13" s="348"/>
      <c r="BS13" s="305"/>
      <c r="BT13" s="305"/>
      <c r="BU13" s="305"/>
      <c r="BV13" s="305"/>
      <c r="BW13" s="305"/>
      <c r="BX13" s="305"/>
      <c r="BY13" s="305"/>
      <c r="BZ13" s="309"/>
      <c r="CA13" s="309"/>
      <c r="CB13" s="240"/>
      <c r="CC13" s="240"/>
      <c r="CF13" s="9"/>
      <c r="CG13" s="9"/>
      <c r="CH13" s="11"/>
      <c r="CI13" s="11"/>
      <c r="CJ13" s="33"/>
      <c r="CK13" s="33"/>
      <c r="CL13" s="33"/>
      <c r="CM13" s="29"/>
      <c r="CN13" s="29"/>
    </row>
    <row r="14" spans="2:99" s="22" customFormat="1" ht="4.5" customHeight="1" x14ac:dyDescent="0.25">
      <c r="B14" s="53"/>
      <c r="C14" s="54"/>
      <c r="D14" s="54"/>
      <c r="E14" s="54"/>
      <c r="F14" s="54"/>
      <c r="G14" s="54"/>
      <c r="H14" s="54"/>
      <c r="I14" s="54"/>
      <c r="J14" s="54"/>
      <c r="K14" s="54"/>
      <c r="L14" s="55"/>
      <c r="N14" s="56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8"/>
      <c r="AC14" s="11"/>
      <c r="AD14" s="340"/>
      <c r="AE14" s="321"/>
      <c r="AF14" s="321"/>
      <c r="AG14" s="321"/>
      <c r="AH14" s="321"/>
      <c r="AI14" s="321"/>
      <c r="AJ14" s="321"/>
      <c r="AK14" s="321"/>
      <c r="AL14" s="321"/>
      <c r="AM14" s="321"/>
      <c r="AN14" s="321"/>
      <c r="AO14" s="321"/>
      <c r="AP14" s="321"/>
      <c r="AQ14" s="321"/>
      <c r="AR14" s="321"/>
      <c r="AS14" s="339"/>
      <c r="AT14" s="11"/>
      <c r="AU14" s="169"/>
      <c r="AV14" s="205"/>
      <c r="AW14" s="344"/>
      <c r="AX14" s="344"/>
      <c r="AY14" s="344"/>
      <c r="AZ14" s="344"/>
      <c r="BA14" s="344"/>
      <c r="BB14" s="344"/>
      <c r="BC14" s="344"/>
      <c r="BD14" s="344"/>
      <c r="BE14" s="344"/>
      <c r="BF14" s="344"/>
      <c r="BG14" s="344"/>
      <c r="BH14" s="216"/>
      <c r="BI14" s="240"/>
      <c r="BJ14" s="205"/>
      <c r="BK14" s="302" t="s">
        <v>30</v>
      </c>
      <c r="BL14" s="353" t="s">
        <v>32</v>
      </c>
      <c r="BM14" s="302" t="s">
        <v>26</v>
      </c>
      <c r="BN14" s="302" t="s">
        <v>27</v>
      </c>
      <c r="BO14" s="302" t="s">
        <v>28</v>
      </c>
      <c r="BP14" s="169"/>
      <c r="BQ14" s="341" t="s">
        <v>230</v>
      </c>
      <c r="BR14" s="341"/>
      <c r="BS14" s="341"/>
      <c r="BT14" s="341"/>
      <c r="BU14" s="341"/>
      <c r="BV14" s="341"/>
      <c r="BW14" s="341"/>
      <c r="BX14" s="341"/>
      <c r="BY14" s="240"/>
      <c r="BZ14" s="309"/>
      <c r="CA14" s="309"/>
      <c r="CB14" s="240"/>
      <c r="CC14" s="240"/>
      <c r="CF14" s="7"/>
      <c r="CG14" s="7"/>
      <c r="CH14" s="7"/>
      <c r="CI14" s="7"/>
      <c r="CJ14" s="7"/>
      <c r="CK14" s="7"/>
      <c r="CL14" s="7"/>
      <c r="CM14" s="7"/>
      <c r="CN14" s="29"/>
      <c r="CO14" s="29"/>
    </row>
    <row r="15" spans="2:99" s="22" customFormat="1" ht="15" customHeight="1" x14ac:dyDescent="0.35">
      <c r="B15" s="59"/>
      <c r="C15" s="379" t="s">
        <v>207</v>
      </c>
      <c r="D15" s="379"/>
      <c r="E15" s="379"/>
      <c r="F15" s="379"/>
      <c r="G15" s="44"/>
      <c r="H15" s="384" t="s">
        <v>103</v>
      </c>
      <c r="I15" s="385"/>
      <c r="J15" s="391"/>
      <c r="K15" s="392"/>
      <c r="L15" s="60"/>
      <c r="N15" s="82"/>
      <c r="O15" s="44"/>
      <c r="P15" s="44"/>
      <c r="Q15" s="44"/>
      <c r="R15" s="44"/>
      <c r="S15" s="44"/>
      <c r="T15" s="44"/>
      <c r="U15" s="64" t="s">
        <v>225</v>
      </c>
      <c r="V15" s="326">
        <f>IF(H37=1,     BO47,        IF(H37=2,        BO47+BO99,        IF(H37=3,        BO47+BO99+BO155,                   BO47+BO99+BO155+BO195)))</f>
        <v>6289.5999999999995</v>
      </c>
      <c r="W15" s="326"/>
      <c r="X15" s="326"/>
      <c r="Y15" s="65" t="str">
        <f>IF($H$15="Imperial","Cubic Feet", "Cubic Meters")</f>
        <v>Cubic Feet</v>
      </c>
      <c r="Z15" s="44"/>
      <c r="AA15" s="44"/>
      <c r="AB15" s="83"/>
      <c r="AC15" s="38"/>
      <c r="AD15" s="416"/>
      <c r="AE15" s="321"/>
      <c r="AF15" s="321"/>
      <c r="AG15" s="321"/>
      <c r="AH15" s="321"/>
      <c r="AI15" s="321"/>
      <c r="AJ15" s="321"/>
      <c r="AK15" s="321"/>
      <c r="AL15" s="321"/>
      <c r="AM15" s="321"/>
      <c r="AN15" s="321"/>
      <c r="AO15" s="321"/>
      <c r="AP15" s="321"/>
      <c r="AQ15" s="321"/>
      <c r="AR15" s="321"/>
      <c r="AS15" s="339"/>
      <c r="AT15" s="38"/>
      <c r="AU15" s="169"/>
      <c r="AV15" s="205"/>
      <c r="AW15" s="344"/>
      <c r="AX15" s="344"/>
      <c r="AY15" s="344"/>
      <c r="AZ15" s="344"/>
      <c r="BA15" s="344"/>
      <c r="BB15" s="344"/>
      <c r="BC15" s="344"/>
      <c r="BD15" s="344"/>
      <c r="BE15" s="344"/>
      <c r="BF15" s="344"/>
      <c r="BG15" s="344"/>
      <c r="BH15" s="216">
        <f>BH7+BH11+AZ7</f>
        <v>142.74972222222223</v>
      </c>
      <c r="BI15" s="240"/>
      <c r="BJ15" s="205"/>
      <c r="BK15" s="302"/>
      <c r="BL15" s="353"/>
      <c r="BM15" s="302"/>
      <c r="BN15" s="302"/>
      <c r="BO15" s="302"/>
      <c r="BP15" s="169"/>
      <c r="BQ15" s="341"/>
      <c r="BR15" s="341"/>
      <c r="BS15" s="341"/>
      <c r="BT15" s="341"/>
      <c r="BU15" s="341"/>
      <c r="BV15" s="341"/>
      <c r="BW15" s="341"/>
      <c r="BX15" s="341"/>
      <c r="BY15" s="341"/>
      <c r="BZ15" s="309"/>
      <c r="CA15" s="309"/>
      <c r="CB15" s="235"/>
      <c r="CC15" s="235"/>
      <c r="CF15" s="7"/>
      <c r="CG15" s="7"/>
      <c r="CH15" s="7"/>
      <c r="CI15" s="7"/>
      <c r="CJ15" s="7"/>
      <c r="CK15" s="7"/>
      <c r="CL15" s="7"/>
      <c r="CM15" s="7"/>
      <c r="CN15" s="29"/>
      <c r="CO15" s="29"/>
    </row>
    <row r="16" spans="2:99" s="22" customFormat="1" ht="3.75" customHeight="1" x14ac:dyDescent="0.25">
      <c r="B16" s="59"/>
      <c r="C16" s="196"/>
      <c r="D16" s="196"/>
      <c r="E16" s="196"/>
      <c r="F16" s="196"/>
      <c r="G16" s="63"/>
      <c r="H16" s="66"/>
      <c r="I16" s="66"/>
      <c r="J16" s="63"/>
      <c r="K16" s="69"/>
      <c r="L16" s="60"/>
      <c r="N16" s="82"/>
      <c r="O16" s="44"/>
      <c r="P16" s="44"/>
      <c r="Q16" s="44"/>
      <c r="R16" s="44"/>
      <c r="S16" s="44"/>
      <c r="T16" s="44"/>
      <c r="U16" s="44"/>
      <c r="V16" s="203"/>
      <c r="W16" s="203"/>
      <c r="X16" s="203"/>
      <c r="Y16" s="44"/>
      <c r="Z16" s="44"/>
      <c r="AA16" s="44"/>
      <c r="AB16" s="83"/>
      <c r="AC16" s="38"/>
      <c r="AD16" s="340"/>
      <c r="AE16" s="321"/>
      <c r="AF16" s="321"/>
      <c r="AG16" s="321"/>
      <c r="AH16" s="321"/>
      <c r="AI16" s="321"/>
      <c r="AJ16" s="321"/>
      <c r="AK16" s="321"/>
      <c r="AL16" s="321"/>
      <c r="AM16" s="321"/>
      <c r="AN16" s="321"/>
      <c r="AO16" s="321"/>
      <c r="AP16" s="321"/>
      <c r="AQ16" s="321"/>
      <c r="AR16" s="321"/>
      <c r="AS16" s="339"/>
      <c r="AT16" s="38"/>
      <c r="AU16" s="169"/>
      <c r="AV16" s="205"/>
      <c r="AW16" s="243"/>
      <c r="AX16" s="243"/>
      <c r="AY16" s="243"/>
      <c r="AZ16" s="243"/>
      <c r="BA16" s="243"/>
      <c r="BB16" s="243"/>
      <c r="BC16" s="243"/>
      <c r="BD16" s="243"/>
      <c r="BE16" s="244"/>
      <c r="BF16" s="244"/>
      <c r="BG16" s="244"/>
      <c r="BH16" s="216"/>
      <c r="BI16" s="240"/>
      <c r="BJ16" s="205"/>
      <c r="BK16" s="302"/>
      <c r="BL16" s="353"/>
      <c r="BM16" s="302"/>
      <c r="BN16" s="302"/>
      <c r="BO16" s="302"/>
      <c r="BP16" s="169"/>
      <c r="BQ16" s="342" t="str">
        <f>IF(BS2=1,    "",      "number of endCs per fullR*endRendCvolumes")</f>
        <v/>
      </c>
      <c r="BR16" s="342" t="str">
        <f>IF(BS2=1,       "",      "Max number of midC per fullR*endRmidC Volume")</f>
        <v/>
      </c>
      <c r="BS16" s="342"/>
      <c r="BT16" s="342" t="str">
        <f>IF(BS2=1,     "",      "Number of End Rows")</f>
        <v/>
      </c>
      <c r="BU16" s="342" t="str">
        <f>IF(BS2=1,        "",     "min number of rows suggested")</f>
        <v/>
      </c>
      <c r="BV16" s="342"/>
      <c r="BW16" s="341" t="s">
        <v>122</v>
      </c>
      <c r="BX16" s="341"/>
      <c r="BY16" s="341"/>
      <c r="BZ16" s="309"/>
      <c r="CA16" s="309"/>
      <c r="CB16" s="235"/>
      <c r="CC16" s="235"/>
      <c r="CF16" s="9"/>
      <c r="CG16" s="9"/>
      <c r="CH16" s="9"/>
      <c r="CI16" s="9"/>
      <c r="CJ16" s="9"/>
      <c r="CK16" s="34"/>
      <c r="CL16" s="34"/>
      <c r="CM16" s="34"/>
      <c r="CN16" s="29"/>
      <c r="CO16" s="29"/>
    </row>
    <row r="17" spans="2:93" s="22" customFormat="1" ht="15.75" customHeight="1" x14ac:dyDescent="0.25">
      <c r="B17" s="59"/>
      <c r="C17" s="379" t="s">
        <v>12</v>
      </c>
      <c r="D17" s="379"/>
      <c r="E17" s="379"/>
      <c r="F17" s="379"/>
      <c r="G17" s="63"/>
      <c r="H17" s="384">
        <v>10000</v>
      </c>
      <c r="I17" s="385"/>
      <c r="J17" s="63"/>
      <c r="K17" s="66" t="str">
        <f>IF($H$15="Imperial","ft³", "m³")</f>
        <v>ft³</v>
      </c>
      <c r="L17" s="60"/>
      <c r="N17" s="82"/>
      <c r="O17" s="44"/>
      <c r="P17" s="44"/>
      <c r="Q17" s="44"/>
      <c r="R17" s="44"/>
      <c r="S17" s="44"/>
      <c r="T17" s="44"/>
      <c r="U17" s="64" t="s">
        <v>226</v>
      </c>
      <c r="V17" s="326">
        <f>IF(H37=1,     BL47,        IF(H37=2,        BL47+BL99,        IF(H37=3,        BL47+BL99+BL155,                   BL47+BL99+BL155+BL195)))</f>
        <v>3740.7030555555561</v>
      </c>
      <c r="W17" s="326"/>
      <c r="X17" s="326"/>
      <c r="Y17" s="65" t="str">
        <f>IF($H$15="Imperial","Cubic Feet", "Cubic Meters")</f>
        <v>Cubic Feet</v>
      </c>
      <c r="Z17" s="44"/>
      <c r="AA17" s="44"/>
      <c r="AB17" s="83"/>
      <c r="AC17" s="38"/>
      <c r="AD17" s="416"/>
      <c r="AE17" s="321"/>
      <c r="AF17" s="321"/>
      <c r="AG17" s="321"/>
      <c r="AH17" s="321"/>
      <c r="AI17" s="321"/>
      <c r="AJ17" s="321"/>
      <c r="AK17" s="321"/>
      <c r="AL17" s="321"/>
      <c r="AM17" s="321"/>
      <c r="AN17" s="321"/>
      <c r="AO17" s="321"/>
      <c r="AP17" s="321"/>
      <c r="AQ17" s="417"/>
      <c r="AR17" s="321"/>
      <c r="AS17" s="339"/>
      <c r="AT17" s="38"/>
      <c r="AU17" s="169"/>
      <c r="AV17" s="205"/>
      <c r="AW17" s="302" t="s">
        <v>121</v>
      </c>
      <c r="AX17" s="353" t="s">
        <v>172</v>
      </c>
      <c r="AY17" s="353"/>
      <c r="AZ17" s="353"/>
      <c r="BA17" s="303" t="s">
        <v>174</v>
      </c>
      <c r="BB17" s="303"/>
      <c r="BC17" s="303"/>
      <c r="BD17" s="303"/>
      <c r="BE17" s="354" t="s">
        <v>175</v>
      </c>
      <c r="BF17" s="354"/>
      <c r="BG17" s="354"/>
      <c r="BH17" s="216" t="s">
        <v>191</v>
      </c>
      <c r="BI17" s="245"/>
      <c r="BJ17" s="205"/>
      <c r="BK17" s="302"/>
      <c r="BL17" s="246">
        <f>IF(BT65&lt;=2,     0,      IF(BT57=1,        BT34,          IF(BT59=0,              2*BT34,           IF(BT59=1,       IF(BT63&lt;=2,            BT34,                 BT34+BQ54),            2*BT34))))</f>
        <v>54</v>
      </c>
      <c r="BM17" s="246">
        <f>BL17*BE67</f>
        <v>2430.3825000000006</v>
      </c>
      <c r="BN17" s="247">
        <f>BL17*BD67</f>
        <v>3931.2</v>
      </c>
      <c r="BO17" s="247">
        <f>IF(BO33=1,   IF(H15="Imperial",   (BM17+BN17)+(BL17*(((BE61*(H55-(H45/2))*BE65)/1728)*(H33/100))),   (BM17+BN17)+(BL17*(((BE61*(H55-(H45/2))*BE65)/1000000000)*(H33/100)))),   BM17+BN17)</f>
        <v>6361.5825000000004</v>
      </c>
      <c r="BP17" s="169"/>
      <c r="BQ17" s="342"/>
      <c r="BR17" s="342"/>
      <c r="BS17" s="342"/>
      <c r="BT17" s="342"/>
      <c r="BU17" s="342"/>
      <c r="BV17" s="342"/>
      <c r="BW17" s="341"/>
      <c r="BX17" s="341"/>
      <c r="BY17" s="341"/>
      <c r="BZ17" s="309"/>
      <c r="CA17" s="309"/>
      <c r="CB17" s="235"/>
      <c r="CC17" s="235"/>
      <c r="CF17" s="9"/>
      <c r="CG17" s="9"/>
      <c r="CH17" s="9"/>
      <c r="CI17" s="9"/>
      <c r="CJ17" s="9"/>
      <c r="CK17" s="34"/>
      <c r="CL17" s="34"/>
      <c r="CM17" s="34"/>
      <c r="CN17" s="29"/>
      <c r="CO17" s="29"/>
    </row>
    <row r="18" spans="2:93" s="22" customFormat="1" ht="3.75" customHeight="1" x14ac:dyDescent="0.25">
      <c r="B18" s="59"/>
      <c r="C18" s="196"/>
      <c r="D18" s="196"/>
      <c r="E18" s="196"/>
      <c r="F18" s="196"/>
      <c r="G18" s="63"/>
      <c r="H18" s="66"/>
      <c r="I18" s="66"/>
      <c r="J18" s="63"/>
      <c r="K18" s="69"/>
      <c r="L18" s="60"/>
      <c r="N18" s="82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83"/>
      <c r="AC18" s="38"/>
      <c r="AD18" s="340"/>
      <c r="AE18" s="321"/>
      <c r="AF18" s="321"/>
      <c r="AG18" s="321"/>
      <c r="AH18" s="321"/>
      <c r="AI18" s="321"/>
      <c r="AJ18" s="321"/>
      <c r="AK18" s="321"/>
      <c r="AL18" s="321"/>
      <c r="AM18" s="321"/>
      <c r="AN18" s="321"/>
      <c r="AO18" s="321"/>
      <c r="AP18" s="321"/>
      <c r="AQ18" s="321"/>
      <c r="AR18" s="321"/>
      <c r="AS18" s="339"/>
      <c r="AT18" s="38"/>
      <c r="AU18" s="169"/>
      <c r="AV18" s="205"/>
      <c r="AW18" s="302"/>
      <c r="AX18" s="353"/>
      <c r="AY18" s="353"/>
      <c r="AZ18" s="353"/>
      <c r="BA18" s="243"/>
      <c r="BB18" s="243"/>
      <c r="BC18" s="243"/>
      <c r="BD18" s="243"/>
      <c r="BE18" s="244"/>
      <c r="BF18" s="244"/>
      <c r="BG18" s="244"/>
      <c r="BH18" s="216" t="s">
        <v>189</v>
      </c>
      <c r="BI18" s="248"/>
      <c r="BJ18" s="205"/>
      <c r="BK18" s="302" t="s">
        <v>31</v>
      </c>
      <c r="BL18" s="353" t="s">
        <v>32</v>
      </c>
      <c r="BM18" s="302" t="s">
        <v>26</v>
      </c>
      <c r="BN18" s="302" t="s">
        <v>27</v>
      </c>
      <c r="BO18" s="302" t="s">
        <v>28</v>
      </c>
      <c r="BP18" s="169"/>
      <c r="BQ18" s="342"/>
      <c r="BR18" s="342"/>
      <c r="BS18" s="342"/>
      <c r="BT18" s="342"/>
      <c r="BU18" s="342"/>
      <c r="BV18" s="342"/>
      <c r="BW18" s="341"/>
      <c r="BX18" s="341"/>
      <c r="BY18" s="341"/>
      <c r="BZ18" s="309"/>
      <c r="CA18" s="309"/>
      <c r="CB18" s="235"/>
      <c r="CC18" s="235"/>
      <c r="CD18" s="7"/>
      <c r="CE18" s="7"/>
      <c r="CF18" s="7"/>
      <c r="CG18" s="7"/>
      <c r="CH18" s="7"/>
      <c r="CI18" s="7"/>
      <c r="CJ18" s="7"/>
      <c r="CK18" s="8"/>
      <c r="CL18" s="8"/>
      <c r="CM18" s="8"/>
      <c r="CN18" s="29"/>
      <c r="CO18" s="29"/>
    </row>
    <row r="19" spans="2:93" s="22" customFormat="1" ht="15" customHeight="1" x14ac:dyDescent="0.35">
      <c r="B19" s="59"/>
      <c r="C19" s="379" t="s">
        <v>102</v>
      </c>
      <c r="D19" s="379"/>
      <c r="E19" s="379"/>
      <c r="F19" s="379"/>
      <c r="G19" s="63"/>
      <c r="H19" s="384" t="s">
        <v>208</v>
      </c>
      <c r="I19" s="385"/>
      <c r="J19" s="391"/>
      <c r="K19" s="392"/>
      <c r="L19" s="60"/>
      <c r="N19" s="61"/>
      <c r="O19" s="44"/>
      <c r="P19" s="62"/>
      <c r="Q19" s="62"/>
      <c r="R19" s="62"/>
      <c r="S19" s="62"/>
      <c r="T19" s="63"/>
      <c r="U19" s="64" t="s">
        <v>128</v>
      </c>
      <c r="V19" s="337">
        <f>IF(H37=1,     BO41,        IF(H37=2,        BO41+BO96,        IF(H37=3,        BO41+BO96+BO152,                   BO41+BO96+BO152+BO192)))</f>
        <v>10030.303055555556</v>
      </c>
      <c r="W19" s="337"/>
      <c r="X19" s="337"/>
      <c r="Y19" s="65" t="str">
        <f>IF($H$15="Imperial","Cubic Feet", "Cubic Meters")</f>
        <v>Cubic Feet</v>
      </c>
      <c r="Z19" s="66"/>
      <c r="AA19" s="67"/>
      <c r="AB19" s="68"/>
      <c r="AC19" s="38"/>
      <c r="AD19" s="340"/>
      <c r="AE19" s="321"/>
      <c r="AF19" s="321"/>
      <c r="AG19" s="321"/>
      <c r="AH19" s="321"/>
      <c r="AI19" s="321"/>
      <c r="AJ19" s="321"/>
      <c r="AK19" s="321"/>
      <c r="AL19" s="321"/>
      <c r="AM19" s="321"/>
      <c r="AN19" s="321"/>
      <c r="AO19" s="321"/>
      <c r="AP19" s="321"/>
      <c r="AQ19" s="321"/>
      <c r="AR19" s="321"/>
      <c r="AS19" s="339"/>
      <c r="AT19" s="38"/>
      <c r="AU19" s="169"/>
      <c r="AV19" s="205"/>
      <c r="AW19" s="302"/>
      <c r="AX19" s="352" t="s">
        <v>170</v>
      </c>
      <c r="AY19" s="352"/>
      <c r="AZ19" s="231">
        <f>IF(H15="Imperial",             (((((AZ5+H55)*(AY77+H55+(H45/2))*AZ75)/1728)-AZ7)*(H33/100)),                    (((((AZ5+H55)*(AY77+H55+(H45/2))*AZ75)/1000000000)-AZ7)*(H33/100)))</f>
        <v>-32.96</v>
      </c>
      <c r="BA19" s="352" t="s">
        <v>170</v>
      </c>
      <c r="BB19" s="352"/>
      <c r="BC19" s="352"/>
      <c r="BD19" s="231">
        <f>2*AZ19</f>
        <v>-65.92</v>
      </c>
      <c r="BE19" s="232" t="s">
        <v>170</v>
      </c>
      <c r="BF19" s="233"/>
      <c r="BG19" s="231">
        <f>2*BB81</f>
        <v>93.11999999999999</v>
      </c>
      <c r="BH19" s="216">
        <f>IF(H15="Imperial",           (((BA75*(BA77)*(AZ5+H55))/1728)-AZ7)*(H33/100),                    (((BA75*(BA77)*(AZ5+H55))/1000000000)-AZ7)*(H33/100))</f>
        <v>-32.96</v>
      </c>
      <c r="BI19" s="205"/>
      <c r="BJ19" s="205"/>
      <c r="BK19" s="302"/>
      <c r="BL19" s="353"/>
      <c r="BM19" s="302"/>
      <c r="BN19" s="302"/>
      <c r="BO19" s="302"/>
      <c r="BP19" s="169"/>
      <c r="BQ19" s="342"/>
      <c r="BR19" s="342"/>
      <c r="BS19" s="342"/>
      <c r="BT19" s="342"/>
      <c r="BU19" s="342"/>
      <c r="BV19" s="342"/>
      <c r="BW19" s="341"/>
      <c r="BX19" s="341"/>
      <c r="BY19" s="341"/>
      <c r="BZ19" s="309"/>
      <c r="CA19" s="309"/>
      <c r="CB19" s="235"/>
      <c r="CC19" s="235"/>
      <c r="CD19" s="7"/>
      <c r="CE19" s="7"/>
      <c r="CF19" s="7"/>
      <c r="CG19" s="7"/>
      <c r="CH19" s="7"/>
      <c r="CI19" s="7"/>
      <c r="CJ19" s="7"/>
      <c r="CK19" s="8"/>
      <c r="CL19" s="8"/>
      <c r="CM19" s="8"/>
      <c r="CN19" s="29"/>
      <c r="CO19" s="29"/>
    </row>
    <row r="20" spans="2:93" s="22" customFormat="1" ht="3.75" customHeight="1" x14ac:dyDescent="0.25">
      <c r="B20" s="59"/>
      <c r="C20" s="196"/>
      <c r="D20" s="196"/>
      <c r="E20" s="196"/>
      <c r="F20" s="196"/>
      <c r="G20" s="63"/>
      <c r="H20" s="66"/>
      <c r="I20" s="66"/>
      <c r="J20" s="63"/>
      <c r="K20" s="69"/>
      <c r="L20" s="60"/>
      <c r="N20" s="70"/>
      <c r="O20" s="63"/>
      <c r="P20" s="63"/>
      <c r="Q20" s="63"/>
      <c r="R20" s="63"/>
      <c r="S20" s="63"/>
      <c r="T20" s="63"/>
      <c r="U20" s="63"/>
      <c r="V20" s="188"/>
      <c r="W20" s="188"/>
      <c r="X20" s="188"/>
      <c r="Y20" s="63"/>
      <c r="Z20" s="63"/>
      <c r="AA20" s="63"/>
      <c r="AB20" s="60"/>
      <c r="AC20" s="38"/>
      <c r="AD20" s="340"/>
      <c r="AE20" s="321"/>
      <c r="AF20" s="321"/>
      <c r="AG20" s="321"/>
      <c r="AH20" s="321"/>
      <c r="AI20" s="321"/>
      <c r="AJ20" s="321"/>
      <c r="AK20" s="321"/>
      <c r="AL20" s="321"/>
      <c r="AM20" s="321"/>
      <c r="AN20" s="321"/>
      <c r="AO20" s="321"/>
      <c r="AP20" s="321"/>
      <c r="AQ20" s="321"/>
      <c r="AR20" s="321"/>
      <c r="AS20" s="339"/>
      <c r="AT20" s="38"/>
      <c r="AU20" s="169"/>
      <c r="AV20" s="205"/>
      <c r="AW20" s="302"/>
      <c r="AX20" s="236"/>
      <c r="AY20" s="233"/>
      <c r="AZ20" s="231"/>
      <c r="BA20" s="222"/>
      <c r="BB20" s="168"/>
      <c r="BC20" s="237"/>
      <c r="BD20" s="231"/>
      <c r="BE20" s="236"/>
      <c r="BF20" s="233"/>
      <c r="BG20" s="231"/>
      <c r="BH20" s="216"/>
      <c r="BI20" s="205"/>
      <c r="BJ20" s="205"/>
      <c r="BK20" s="302"/>
      <c r="BL20" s="353"/>
      <c r="BM20" s="302"/>
      <c r="BN20" s="302"/>
      <c r="BO20" s="302"/>
      <c r="BP20" s="212"/>
      <c r="BQ20" s="305">
        <f>IF(BS2=1,        0,        IF(H15="Imperial",          IF(BX12=1,         (AZ7+AZ9)+(((H55*AZ61*AZ63)/1728)*(H33/100)),          2*(AZ7+AZ9)),                                                                                                                                                                                                                              IF(BX12=1,                         (AZ7+AZ9)+(((H55*AZ61*AZ63)/1000000000)*(H33/100)),          2*(AZ7+AZ9))))</f>
        <v>0</v>
      </c>
      <c r="BR20" s="305">
        <f>IF(BS2=1,     0,      IF(BV12=0,       0,         BV12*BG67))</f>
        <v>0</v>
      </c>
      <c r="BS20" s="305"/>
      <c r="BT20" s="305">
        <f>IF(BS2=1,        0,                  IF(BX12=1,                         IF(BQ12&lt;=AZ13,     1,              2),                            IF(BX12=2,              IF(BQ12&lt;=BG13,         1,              2),                                                                                                                                            IF(H15="Imperial",           IF(BQ12&lt;= ((2*(BB67+(((AZ61*(H55-(H45/2))*(AY65+H55))/1728)*(H33/100))))+(BV12*(BG67+(((BE61*(H55-(H45/2))*BD65)/1728)*(H33/100))))),          1,       2),                                                           IF(BQ12&lt;= ((2*(BB67+(((AZ61*(H55-(H45/2))*(AY65+H55))/1000000000)*(H33/100))))+(BV12*(BG67+(((BE61*(H55-(H45/2))*BD65)/1000000000)*(H33/100))))),          1,       2)))))</f>
        <v>0</v>
      </c>
      <c r="BU20" s="305">
        <f>IF(BS2=1,                  0,                 IF(BQ12&lt;=(2*(BQ20+BR20)),                      BT20,                                                                                                                                                                                                                                       IF(BX12=1,           (ROUNDUP((BQ12-(2*(BQ20+BR20)))/(BH15),0))+2,                            IF(BX12=2,                   (ROUNDUP((BQ12-(2*(BQ20+BR20)))/(2*BC67),0))+2,                                                                                                        (ROUNDUP((BQ12-(2*(BQ20+BR20)))/((BV12*BH67)+(2*BC67)),0))+2))))</f>
        <v>0</v>
      </c>
      <c r="BV20" s="305"/>
      <c r="BW20" s="341"/>
      <c r="BX20" s="341"/>
      <c r="BY20" s="341"/>
      <c r="BZ20" s="309"/>
      <c r="CA20" s="309"/>
      <c r="CB20" s="235"/>
      <c r="CC20" s="206"/>
      <c r="CD20" s="9"/>
      <c r="CE20" s="9"/>
      <c r="CF20" s="9"/>
      <c r="CG20" s="9"/>
      <c r="CH20" s="9"/>
      <c r="CI20" s="9"/>
      <c r="CJ20" s="9"/>
      <c r="CK20" s="8"/>
      <c r="CL20" s="8"/>
      <c r="CM20" s="8"/>
      <c r="CN20" s="29"/>
      <c r="CO20" s="29"/>
    </row>
    <row r="21" spans="2:93" s="22" customFormat="1" ht="18" customHeight="1" x14ac:dyDescent="0.25">
      <c r="B21" s="59"/>
      <c r="C21" s="196"/>
      <c r="D21" s="196"/>
      <c r="E21" s="196"/>
      <c r="F21" s="196"/>
      <c r="G21" s="63"/>
      <c r="H21" s="66"/>
      <c r="I21" s="66"/>
      <c r="J21" s="63"/>
      <c r="K21" s="69"/>
      <c r="L21" s="60"/>
      <c r="N21" s="70"/>
      <c r="O21" s="44"/>
      <c r="P21" s="62"/>
      <c r="Q21" s="62"/>
      <c r="R21" s="62"/>
      <c r="S21" s="62"/>
      <c r="T21" s="44"/>
      <c r="U21" s="64" t="s">
        <v>221</v>
      </c>
      <c r="V21" s="338">
        <f>BD67</f>
        <v>72.8</v>
      </c>
      <c r="W21" s="338"/>
      <c r="X21" s="338"/>
      <c r="Y21" s="65" t="str">
        <f>IF($H$15="Imperial","Cubic Feet", "Cubic Meters")</f>
        <v>Cubic Feet</v>
      </c>
      <c r="Z21" s="44"/>
      <c r="AA21" s="65"/>
      <c r="AB21" s="60"/>
      <c r="AC21" s="38"/>
      <c r="AD21" s="340"/>
      <c r="AE21" s="321"/>
      <c r="AF21" s="321"/>
      <c r="AG21" s="321"/>
      <c r="AH21" s="321"/>
      <c r="AI21" s="321"/>
      <c r="AJ21" s="321"/>
      <c r="AK21" s="321"/>
      <c r="AL21" s="321"/>
      <c r="AM21" s="321"/>
      <c r="AN21" s="321"/>
      <c r="AO21" s="321"/>
      <c r="AP21" s="321"/>
      <c r="AQ21" s="321"/>
      <c r="AR21" s="321"/>
      <c r="AS21" s="339"/>
      <c r="AT21" s="38"/>
      <c r="AU21" s="169"/>
      <c r="AV21" s="205"/>
      <c r="AW21" s="302"/>
      <c r="AX21" s="236" t="s">
        <v>171</v>
      </c>
      <c r="AY21" s="233"/>
      <c r="AZ21" s="231">
        <f>IF(H15="Imperial",                         (((AZ77*H55*AZ75)/1728)*(H33/100))+((((H55-(H45/2))*(AZ5+H55+H55)*AZ75)/1728)*(H33/100)),                                                                                                                                                               (((AZ77*H55*AZ75)/1000000000)*(H33/100))+((((H55-(H45/2))*(AZ5+H55+H55)*AZ75)/1000000000)*(H33/100)))</f>
        <v>0</v>
      </c>
      <c r="BA21" s="351" t="s">
        <v>171</v>
      </c>
      <c r="BB21" s="351"/>
      <c r="BC21" s="351"/>
      <c r="BD21" s="231">
        <f>IF(H15="Imperial",        2*(((AZ75*AZ77*H55)/1728)*(H33/100)),                     2*(((AZ75*AZ77*H55)/1000000000)*(H33/100)))</f>
        <v>0</v>
      </c>
      <c r="BE21" s="236" t="s">
        <v>171</v>
      </c>
      <c r="BF21" s="233"/>
      <c r="BG21" s="231">
        <f>IF(H15="Imperial",                  2*(((AZ75*(H55-(H45/2))*(AY79+H55))/1728)*(H33/100)),                      2*(((AZ75*(H55-(H45/2))*(AY79+H55))/1000000000)*(H33/100)))</f>
        <v>0</v>
      </c>
      <c r="BH21" s="216" t="s">
        <v>190</v>
      </c>
      <c r="BI21" s="205"/>
      <c r="BJ21" s="205"/>
      <c r="BK21" s="302"/>
      <c r="BL21" s="246">
        <f>IF(BT28=0,           0,          IF(BT65=1,            BT28,        IF(BT65=2,        IF(BT59=0,    2*BT28,          IF(BT59&lt;=2,          BT28,                BT28+BR60)),          2*BT28)))</f>
        <v>2</v>
      </c>
      <c r="BM21" s="246">
        <f>IF(BO35=1,        BL21*(BH7+BH11),         IF(BO35=2,            IF(BO39="no",         BL21*BA67,       IF(BT59&lt;=2,      BL21*(BH7+BH11),       ((BL21-BT61)*BA67)+(BT61*(BH7+BH11)))),           BL21*BA67))</f>
        <v>98.089444444444439</v>
      </c>
      <c r="BN21" s="247">
        <f>IF(BO35=1,         BL21*AZ7,         IF(BO35=2,            IF(BO39="no",            BL21*AY67,            IF(BT59&lt;=2,         BL21*AZ7,            ((BL21-BT61)*AY67)+(BT61*AZ7))),                 BL21*AY67))</f>
        <v>155.19999999999999</v>
      </c>
      <c r="BO21" s="247">
        <f>BM21+BN21</f>
        <v>253.28944444444443</v>
      </c>
      <c r="BP21" s="169"/>
      <c r="BQ21" s="305"/>
      <c r="BR21" s="305"/>
      <c r="BS21" s="305"/>
      <c r="BT21" s="305"/>
      <c r="BU21" s="305"/>
      <c r="BV21" s="305"/>
      <c r="BW21" s="341"/>
      <c r="BX21" s="341"/>
      <c r="BY21" s="341"/>
      <c r="BZ21" s="309"/>
      <c r="CA21" s="309"/>
      <c r="CB21" s="206"/>
      <c r="CC21" s="206"/>
      <c r="CD21" s="9"/>
      <c r="CE21" s="9"/>
      <c r="CF21" s="9"/>
      <c r="CG21" s="9"/>
      <c r="CH21" s="9"/>
      <c r="CI21" s="9"/>
      <c r="CJ21" s="9"/>
      <c r="CK21" s="8"/>
      <c r="CL21" s="8"/>
      <c r="CM21" s="8"/>
      <c r="CN21" s="29"/>
      <c r="CO21" s="29"/>
    </row>
    <row r="22" spans="2:93" s="22" customFormat="1" ht="4.5" customHeight="1" x14ac:dyDescent="0.25">
      <c r="B22" s="59"/>
      <c r="C22" s="196"/>
      <c r="D22" s="196"/>
      <c r="E22" s="196"/>
      <c r="F22" s="196"/>
      <c r="G22" s="63"/>
      <c r="H22" s="66"/>
      <c r="I22" s="66"/>
      <c r="J22" s="63"/>
      <c r="K22" s="69"/>
      <c r="L22" s="60"/>
      <c r="N22" s="70"/>
      <c r="O22" s="44"/>
      <c r="P22" s="63"/>
      <c r="Q22" s="63"/>
      <c r="R22" s="63"/>
      <c r="S22" s="64"/>
      <c r="T22" s="63"/>
      <c r="U22" s="188"/>
      <c r="V22" s="190"/>
      <c r="W22" s="190"/>
      <c r="X22" s="190"/>
      <c r="Y22" s="71"/>
      <c r="Z22" s="69"/>
      <c r="AA22" s="69"/>
      <c r="AB22" s="60"/>
      <c r="AC22" s="38"/>
      <c r="AD22" s="340"/>
      <c r="AE22" s="321"/>
      <c r="AF22" s="321"/>
      <c r="AG22" s="321"/>
      <c r="AH22" s="321"/>
      <c r="AI22" s="321"/>
      <c r="AJ22" s="321"/>
      <c r="AK22" s="321"/>
      <c r="AL22" s="321"/>
      <c r="AM22" s="321"/>
      <c r="AN22" s="321"/>
      <c r="AO22" s="321"/>
      <c r="AP22" s="321"/>
      <c r="AQ22" s="321"/>
      <c r="AR22" s="321"/>
      <c r="AS22" s="339"/>
      <c r="AT22" s="38"/>
      <c r="AU22" s="169"/>
      <c r="AV22" s="205"/>
      <c r="AW22" s="302"/>
      <c r="AX22" s="233"/>
      <c r="AY22" s="233"/>
      <c r="AZ22" s="231"/>
      <c r="BA22" s="233"/>
      <c r="BB22" s="163"/>
      <c r="BC22" s="233"/>
      <c r="BD22" s="231"/>
      <c r="BE22" s="233"/>
      <c r="BF22" s="233"/>
      <c r="BG22" s="231"/>
      <c r="BH22" s="238"/>
      <c r="BI22" s="205"/>
      <c r="BJ22" s="205"/>
      <c r="BK22" s="302" t="s">
        <v>38</v>
      </c>
      <c r="BL22" s="353" t="s">
        <v>32</v>
      </c>
      <c r="BM22" s="302" t="s">
        <v>26</v>
      </c>
      <c r="BN22" s="302" t="s">
        <v>27</v>
      </c>
      <c r="BO22" s="302" t="s">
        <v>28</v>
      </c>
      <c r="BP22" s="169"/>
      <c r="BQ22" s="357" t="s">
        <v>231</v>
      </c>
      <c r="BR22" s="357"/>
      <c r="BS22" s="357"/>
      <c r="BT22" s="357"/>
      <c r="BU22" s="357"/>
      <c r="BV22" s="357"/>
      <c r="BW22" s="357"/>
      <c r="BX22" s="357"/>
      <c r="BY22" s="341"/>
      <c r="BZ22" s="309"/>
      <c r="CA22" s="309"/>
      <c r="CB22" s="206"/>
      <c r="CC22" s="214"/>
      <c r="CD22" s="7"/>
      <c r="CE22" s="7"/>
      <c r="CF22" s="7"/>
      <c r="CG22" s="7"/>
      <c r="CH22" s="35"/>
      <c r="CI22" s="35"/>
      <c r="CJ22" s="7"/>
      <c r="CK22" s="7"/>
      <c r="CL22" s="7"/>
      <c r="CM22" s="7"/>
      <c r="CN22" s="29"/>
      <c r="CO22" s="29"/>
    </row>
    <row r="23" spans="2:93" s="22" customFormat="1" ht="14.25" customHeight="1" x14ac:dyDescent="0.35">
      <c r="B23" s="59"/>
      <c r="C23" s="379" t="s">
        <v>198</v>
      </c>
      <c r="D23" s="379"/>
      <c r="E23" s="379"/>
      <c r="F23" s="379"/>
      <c r="G23" s="63"/>
      <c r="H23" s="384" t="s">
        <v>59</v>
      </c>
      <c r="I23" s="385"/>
      <c r="J23" s="391"/>
      <c r="K23" s="392"/>
      <c r="L23" s="60"/>
      <c r="N23" s="70"/>
      <c r="O23" s="44"/>
      <c r="P23" s="63"/>
      <c r="Q23" s="63"/>
      <c r="R23" s="63"/>
      <c r="S23" s="64"/>
      <c r="T23" s="63"/>
      <c r="U23" s="64" t="s">
        <v>213</v>
      </c>
      <c r="V23" s="337">
        <f>BH67</f>
        <v>110.53972222222222</v>
      </c>
      <c r="W23" s="337"/>
      <c r="X23" s="337"/>
      <c r="Y23" s="65" t="str">
        <f>IF($H$15="Imperial","Cubic Feet", "Cubic Meters")</f>
        <v>Cubic Feet</v>
      </c>
      <c r="Z23" s="69"/>
      <c r="AA23" s="69"/>
      <c r="AB23" s="60"/>
      <c r="AC23" s="38"/>
      <c r="AD23" s="340"/>
      <c r="AE23" s="321"/>
      <c r="AF23" s="321"/>
      <c r="AG23" s="321"/>
      <c r="AH23" s="321"/>
      <c r="AI23" s="321"/>
      <c r="AJ23" s="321"/>
      <c r="AK23" s="321"/>
      <c r="AL23" s="321"/>
      <c r="AM23" s="321"/>
      <c r="AN23" s="321"/>
      <c r="AO23" s="321"/>
      <c r="AP23" s="321"/>
      <c r="AQ23" s="321"/>
      <c r="AR23" s="321"/>
      <c r="AS23" s="339"/>
      <c r="AT23" s="38"/>
      <c r="AU23" s="169"/>
      <c r="AV23" s="205"/>
      <c r="AW23" s="302"/>
      <c r="AX23" s="347" t="s">
        <v>173</v>
      </c>
      <c r="AY23" s="347"/>
      <c r="AZ23" s="241">
        <f>AZ19+AZ21+AZ7</f>
        <v>49.440000000000005</v>
      </c>
      <c r="BA23" s="347" t="s">
        <v>173</v>
      </c>
      <c r="BB23" s="347"/>
      <c r="BC23" s="347"/>
      <c r="BD23" s="241">
        <f>BD19+BD21+BD7</f>
        <v>98.88000000000001</v>
      </c>
      <c r="BE23" s="347" t="s">
        <v>173</v>
      </c>
      <c r="BF23" s="347"/>
      <c r="BG23" s="241">
        <f>BG19+BG21</f>
        <v>93.11999999999999</v>
      </c>
      <c r="BH23" s="216">
        <f>IF(H15="Imperial",                (((BA75*(BA77)*H55)/1728)*(H33/100)),                     (((BA75*(BA77)*H55)/1000000000)*(H33/100)))</f>
        <v>0</v>
      </c>
      <c r="BI23" s="248"/>
      <c r="BJ23" s="205"/>
      <c r="BK23" s="302"/>
      <c r="BL23" s="353"/>
      <c r="BM23" s="302"/>
      <c r="BN23" s="302"/>
      <c r="BO23" s="302"/>
      <c r="BP23" s="169"/>
      <c r="BQ23" s="357"/>
      <c r="BR23" s="357"/>
      <c r="BS23" s="357"/>
      <c r="BT23" s="357"/>
      <c r="BU23" s="357"/>
      <c r="BV23" s="357"/>
      <c r="BW23" s="357"/>
      <c r="BX23" s="357"/>
      <c r="BY23" s="341"/>
      <c r="BZ23" s="309"/>
      <c r="CA23" s="309"/>
      <c r="CB23" s="214"/>
      <c r="CC23" s="214"/>
      <c r="CD23" s="7"/>
      <c r="CE23" s="7"/>
      <c r="CF23" s="7"/>
      <c r="CG23" s="7"/>
      <c r="CH23" s="35"/>
      <c r="CI23" s="35"/>
      <c r="CJ23" s="7"/>
      <c r="CK23" s="7"/>
      <c r="CL23" s="7"/>
      <c r="CM23" s="7"/>
      <c r="CN23" s="29"/>
      <c r="CO23" s="29"/>
    </row>
    <row r="24" spans="2:93" s="22" customFormat="1" ht="3.75" customHeight="1" x14ac:dyDescent="0.25">
      <c r="B24" s="59"/>
      <c r="C24" s="196"/>
      <c r="D24" s="196"/>
      <c r="E24" s="196"/>
      <c r="F24" s="196"/>
      <c r="G24" s="63"/>
      <c r="H24" s="66"/>
      <c r="I24" s="66"/>
      <c r="J24" s="63"/>
      <c r="K24" s="69"/>
      <c r="L24" s="60"/>
      <c r="N24" s="70"/>
      <c r="O24" s="44"/>
      <c r="P24" s="63"/>
      <c r="Q24" s="63"/>
      <c r="R24" s="63"/>
      <c r="S24" s="64"/>
      <c r="T24" s="63"/>
      <c r="U24" s="188"/>
      <c r="V24" s="190"/>
      <c r="W24" s="190"/>
      <c r="X24" s="190"/>
      <c r="Y24" s="71"/>
      <c r="Z24" s="69"/>
      <c r="AA24" s="69"/>
      <c r="AB24" s="60"/>
      <c r="AC24" s="38"/>
      <c r="AD24" s="340"/>
      <c r="AE24" s="321"/>
      <c r="AF24" s="321"/>
      <c r="AG24" s="321"/>
      <c r="AH24" s="321"/>
      <c r="AI24" s="321"/>
      <c r="AJ24" s="321"/>
      <c r="AK24" s="321"/>
      <c r="AL24" s="321"/>
      <c r="AM24" s="321"/>
      <c r="AN24" s="321"/>
      <c r="AO24" s="321"/>
      <c r="AP24" s="321"/>
      <c r="AQ24" s="321"/>
      <c r="AR24" s="321"/>
      <c r="AS24" s="339"/>
      <c r="AT24" s="38"/>
      <c r="AU24" s="169"/>
      <c r="AV24" s="205"/>
      <c r="AW24" s="243"/>
      <c r="AX24" s="243"/>
      <c r="AY24" s="243"/>
      <c r="AZ24" s="243"/>
      <c r="BA24" s="243"/>
      <c r="BB24" s="243"/>
      <c r="BC24" s="243"/>
      <c r="BD24" s="243"/>
      <c r="BE24" s="244"/>
      <c r="BF24" s="244"/>
      <c r="BG24" s="244"/>
      <c r="BH24" s="216"/>
      <c r="BI24" s="205"/>
      <c r="BJ24" s="205"/>
      <c r="BK24" s="302"/>
      <c r="BL24" s="353"/>
      <c r="BM24" s="302"/>
      <c r="BN24" s="302"/>
      <c r="BO24" s="302"/>
      <c r="BP24" s="169"/>
      <c r="BQ24" s="343" t="s">
        <v>108</v>
      </c>
      <c r="BR24" s="343" t="str">
        <f>IF(H37=1,          "Chosen Number of Rows",      "Default Number of Rows")</f>
        <v>Chosen Number of Rows</v>
      </c>
      <c r="BS24" s="343" t="s">
        <v>109</v>
      </c>
      <c r="BT24" s="344" t="s">
        <v>110</v>
      </c>
      <c r="BU24" s="344" t="s">
        <v>111</v>
      </c>
      <c r="BV24" s="344"/>
      <c r="BW24" s="344" t="s">
        <v>112</v>
      </c>
      <c r="BX24" s="341"/>
      <c r="BY24" s="341"/>
      <c r="BZ24" s="309"/>
      <c r="CA24" s="309"/>
      <c r="CB24" s="214"/>
      <c r="CC24" s="214"/>
      <c r="CD24" s="7"/>
      <c r="CE24" s="7"/>
      <c r="CF24" s="7"/>
      <c r="CG24" s="7"/>
      <c r="CH24" s="35"/>
      <c r="CI24" s="35"/>
      <c r="CJ24" s="7"/>
      <c r="CK24" s="7"/>
      <c r="CL24" s="7"/>
      <c r="CM24" s="7"/>
      <c r="CN24" s="29"/>
      <c r="CO24" s="29"/>
    </row>
    <row r="25" spans="2:93" s="22" customFormat="1" ht="15.75" customHeight="1" x14ac:dyDescent="0.25">
      <c r="B25" s="404" t="str">
        <f>IF(H37&gt;1, "Design Constraint Dimension (applies to the bottom Layer)", "Design Constraint Dimension")</f>
        <v>Design Constraint Dimension</v>
      </c>
      <c r="C25" s="379"/>
      <c r="D25" s="379"/>
      <c r="E25" s="379"/>
      <c r="F25" s="379"/>
      <c r="G25" s="63"/>
      <c r="H25" s="384">
        <v>50</v>
      </c>
      <c r="I25" s="385"/>
      <c r="J25" s="63"/>
      <c r="K25" s="66" t="str">
        <f>IF($H$15="Imperial","ft","m")</f>
        <v>ft</v>
      </c>
      <c r="L25" s="60"/>
      <c r="N25" s="70"/>
      <c r="O25" s="44"/>
      <c r="P25" s="72"/>
      <c r="Q25" s="72"/>
      <c r="R25" s="72"/>
      <c r="S25" s="72"/>
      <c r="T25" s="73"/>
      <c r="U25" s="74" t="s">
        <v>14</v>
      </c>
      <c r="V25" s="396">
        <f>IF(H37=1,        BO51,          IF(H37=2,          BO51+BO101,         IF(H37=3,            BO51+BO101+BO157,               BO51+BO101+BO157+BO197)))</f>
        <v>86</v>
      </c>
      <c r="W25" s="396"/>
      <c r="X25" s="396"/>
      <c r="Y25" s="44"/>
      <c r="Z25" s="66"/>
      <c r="AA25" s="65"/>
      <c r="AB25" s="60"/>
      <c r="AC25" s="38"/>
      <c r="AD25" s="340"/>
      <c r="AE25" s="321"/>
      <c r="AF25" s="321"/>
      <c r="AG25" s="321"/>
      <c r="AH25" s="321"/>
      <c r="AI25" s="321"/>
      <c r="AJ25" s="321"/>
      <c r="AK25" s="321"/>
      <c r="AL25" s="321"/>
      <c r="AM25" s="321"/>
      <c r="AN25" s="321"/>
      <c r="AO25" s="321"/>
      <c r="AP25" s="321"/>
      <c r="AQ25" s="321"/>
      <c r="AR25" s="321"/>
      <c r="AS25" s="339"/>
      <c r="AT25" s="38"/>
      <c r="AU25" s="169"/>
      <c r="AV25" s="205"/>
      <c r="AW25" s="343"/>
      <c r="AX25" s="343"/>
      <c r="AY25" s="343"/>
      <c r="AZ25" s="343"/>
      <c r="BA25" s="343"/>
      <c r="BB25" s="343"/>
      <c r="BC25" s="343"/>
      <c r="BD25" s="343"/>
      <c r="BE25" s="343"/>
      <c r="BF25" s="343"/>
      <c r="BG25" s="343"/>
      <c r="BH25" s="216" t="s">
        <v>173</v>
      </c>
      <c r="BI25" s="205"/>
      <c r="BJ25" s="205"/>
      <c r="BK25" s="302"/>
      <c r="BL25" s="247">
        <f>IF(BT28=0,    0,     IF(BT65&lt;=2,         0,            IF(BT59=0,               BT28*BT34,              IF(BT59&lt;=2,      BT28*BQ54,          (BT28*BQ54)+BR60))))</f>
        <v>26</v>
      </c>
      <c r="BM25" s="247">
        <f>BL25*BF67</f>
        <v>981.23277777777776</v>
      </c>
      <c r="BN25" s="247">
        <f>BL25*BD67</f>
        <v>1892.8</v>
      </c>
      <c r="BO25" s="247">
        <f>BL25*BH67</f>
        <v>2874.0327777777779</v>
      </c>
      <c r="BP25" s="169"/>
      <c r="BQ25" s="343"/>
      <c r="BR25" s="343"/>
      <c r="BS25" s="343"/>
      <c r="BT25" s="344"/>
      <c r="BU25" s="344"/>
      <c r="BV25" s="344"/>
      <c r="BW25" s="344"/>
      <c r="BX25" s="341"/>
      <c r="BY25" s="341"/>
      <c r="BZ25" s="309"/>
      <c r="CA25" s="309"/>
      <c r="CB25" s="214"/>
      <c r="CC25" s="206"/>
      <c r="CD25" s="9"/>
      <c r="CE25" s="9"/>
      <c r="CF25" s="9"/>
      <c r="CG25" s="9"/>
      <c r="CH25" s="9"/>
      <c r="CI25" s="9"/>
      <c r="CJ25" s="11"/>
      <c r="CK25" s="11"/>
      <c r="CL25" s="11"/>
      <c r="CM25" s="11"/>
      <c r="CN25" s="29"/>
      <c r="CO25" s="29"/>
    </row>
    <row r="26" spans="2:93" s="22" customFormat="1" ht="4.5" customHeight="1" x14ac:dyDescent="0.25">
      <c r="B26" s="59"/>
      <c r="C26" s="196"/>
      <c r="D26" s="196"/>
      <c r="E26" s="196"/>
      <c r="F26" s="196"/>
      <c r="G26" s="63"/>
      <c r="H26" s="66"/>
      <c r="I26" s="66"/>
      <c r="J26" s="63"/>
      <c r="K26" s="69"/>
      <c r="L26" s="60"/>
      <c r="N26" s="70"/>
      <c r="O26" s="44"/>
      <c r="P26" s="62"/>
      <c r="Q26" s="62"/>
      <c r="R26" s="62"/>
      <c r="S26" s="62"/>
      <c r="T26" s="63"/>
      <c r="U26" s="64"/>
      <c r="V26" s="190"/>
      <c r="W26" s="190"/>
      <c r="X26" s="190"/>
      <c r="Y26" s="65"/>
      <c r="Z26" s="65"/>
      <c r="AA26" s="69"/>
      <c r="AB26" s="60"/>
      <c r="AC26" s="38"/>
      <c r="AD26" s="340"/>
      <c r="AE26" s="321"/>
      <c r="AF26" s="321"/>
      <c r="AG26" s="321"/>
      <c r="AH26" s="321"/>
      <c r="AI26" s="321"/>
      <c r="AJ26" s="321"/>
      <c r="AK26" s="321"/>
      <c r="AL26" s="321"/>
      <c r="AM26" s="321"/>
      <c r="AN26" s="321"/>
      <c r="AO26" s="321"/>
      <c r="AP26" s="321"/>
      <c r="AQ26" s="321"/>
      <c r="AR26" s="321"/>
      <c r="AS26" s="339"/>
      <c r="AT26" s="38"/>
      <c r="AU26" s="169"/>
      <c r="AV26" s="205"/>
      <c r="AW26" s="343"/>
      <c r="AX26" s="343"/>
      <c r="AY26" s="343"/>
      <c r="AZ26" s="343"/>
      <c r="BA26" s="343"/>
      <c r="BB26" s="343"/>
      <c r="BC26" s="343"/>
      <c r="BD26" s="343"/>
      <c r="BE26" s="343"/>
      <c r="BF26" s="343"/>
      <c r="BG26" s="343"/>
      <c r="BH26" s="216"/>
      <c r="BI26" s="205"/>
      <c r="BJ26" s="205"/>
      <c r="BK26" s="249"/>
      <c r="BL26" s="244"/>
      <c r="BM26" s="249"/>
      <c r="BN26" s="249"/>
      <c r="BO26" s="249"/>
      <c r="BP26" s="169"/>
      <c r="BQ26" s="343"/>
      <c r="BR26" s="343"/>
      <c r="BS26" s="343"/>
      <c r="BT26" s="344"/>
      <c r="BU26" s="344"/>
      <c r="BV26" s="344"/>
      <c r="BW26" s="344"/>
      <c r="BX26" s="341"/>
      <c r="BY26" s="343" t="s">
        <v>104</v>
      </c>
      <c r="BZ26" s="343"/>
      <c r="CA26" s="343"/>
      <c r="CB26" s="214"/>
      <c r="CC26" s="206"/>
      <c r="CD26" s="9"/>
      <c r="CE26" s="9"/>
      <c r="CF26" s="9"/>
      <c r="CG26" s="9"/>
      <c r="CH26" s="9"/>
      <c r="CI26" s="9"/>
      <c r="CJ26" s="11"/>
      <c r="CK26" s="11"/>
      <c r="CL26" s="11"/>
      <c r="CM26" s="11"/>
      <c r="CN26" s="29"/>
      <c r="CO26" s="29"/>
    </row>
    <row r="27" spans="2:93" s="22" customFormat="1" ht="15.75" customHeight="1" x14ac:dyDescent="0.25">
      <c r="B27" s="404" t="str">
        <f>IF($H$15="Imperial",                                      IF($H$19="SC-44","Stone Above Chambers (min. 12 inches; max. 96 inches)",                  "Stone Above Chambers (min. 6 inches; max. 192 inches)"),                            IF($H$19="SC-44",        "Stone Above Chambers (min. 300 mm; max. 2435 mm)",          "Stone Above Chambers (min. 150 mm; 4875 mm max.)"))</f>
        <v>Stone Above Chambers (min. 6 inches; max. 192 inches)</v>
      </c>
      <c r="C27" s="379"/>
      <c r="D27" s="379"/>
      <c r="E27" s="379"/>
      <c r="F27" s="379"/>
      <c r="G27" s="63"/>
      <c r="H27" s="384">
        <v>6</v>
      </c>
      <c r="I27" s="385"/>
      <c r="J27" s="63"/>
      <c r="K27" s="65" t="str">
        <f>IF($H$15="Imperial",           "in",          "mm")</f>
        <v>in</v>
      </c>
      <c r="L27" s="60"/>
      <c r="N27" s="70"/>
      <c r="O27" s="409" t="s">
        <v>194</v>
      </c>
      <c r="P27" s="409"/>
      <c r="Q27" s="409"/>
      <c r="R27" s="409"/>
      <c r="S27" s="409"/>
      <c r="T27" s="409"/>
      <c r="U27" s="409"/>
      <c r="V27" s="409"/>
      <c r="W27" s="409"/>
      <c r="X27" s="409"/>
      <c r="Y27" s="409"/>
      <c r="Z27" s="409"/>
      <c r="AA27" s="409"/>
      <c r="AB27" s="60"/>
      <c r="AC27" s="38"/>
      <c r="AD27" s="340"/>
      <c r="AE27" s="321"/>
      <c r="AF27" s="321"/>
      <c r="AG27" s="321"/>
      <c r="AH27" s="321"/>
      <c r="AI27" s="321"/>
      <c r="AJ27" s="321"/>
      <c r="AK27" s="321"/>
      <c r="AL27" s="321"/>
      <c r="AM27" s="321"/>
      <c r="AN27" s="321"/>
      <c r="AO27" s="321"/>
      <c r="AP27" s="321"/>
      <c r="AQ27" s="321"/>
      <c r="AR27" s="321"/>
      <c r="AS27" s="339"/>
      <c r="AT27" s="38"/>
      <c r="AU27" s="169"/>
      <c r="AV27" s="205"/>
      <c r="AW27" s="343"/>
      <c r="AX27" s="343"/>
      <c r="AY27" s="343"/>
      <c r="AZ27" s="343"/>
      <c r="BA27" s="343"/>
      <c r="BB27" s="343"/>
      <c r="BC27" s="343"/>
      <c r="BD27" s="343"/>
      <c r="BE27" s="343"/>
      <c r="BF27" s="343"/>
      <c r="BG27" s="343"/>
      <c r="BH27" s="216">
        <f>BH19+BH23+AZ7</f>
        <v>49.440000000000005</v>
      </c>
      <c r="BI27" s="205"/>
      <c r="BJ27" s="205"/>
      <c r="BK27" s="250" t="s">
        <v>193</v>
      </c>
      <c r="BL27" s="250">
        <f>BL13+BL17+BL21+BL25</f>
        <v>86</v>
      </c>
      <c r="BM27" s="250">
        <f t="shared" ref="BM27:BO27" si="0">BM13+BM17+BM21+BM25</f>
        <v>3740.7030555555561</v>
      </c>
      <c r="BN27" s="250">
        <f t="shared" si="0"/>
        <v>6289.5999999999995</v>
      </c>
      <c r="BO27" s="250">
        <f t="shared" si="0"/>
        <v>10030.303055555556</v>
      </c>
      <c r="BP27" s="169"/>
      <c r="BQ27" s="343"/>
      <c r="BR27" s="343"/>
      <c r="BS27" s="343"/>
      <c r="BT27" s="344"/>
      <c r="BU27" s="344"/>
      <c r="BV27" s="344"/>
      <c r="BW27" s="344"/>
      <c r="BX27" s="341"/>
      <c r="BY27" s="343"/>
      <c r="BZ27" s="343"/>
      <c r="CA27" s="343"/>
      <c r="CB27" s="214"/>
      <c r="CC27" s="215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</row>
    <row r="28" spans="2:93" s="22" customFormat="1" ht="4.5" customHeight="1" x14ac:dyDescent="0.25">
      <c r="B28" s="59"/>
      <c r="C28" s="196"/>
      <c r="D28" s="196"/>
      <c r="E28" s="196"/>
      <c r="F28" s="196"/>
      <c r="G28" s="63"/>
      <c r="H28" s="66"/>
      <c r="I28" s="66"/>
      <c r="J28" s="63"/>
      <c r="K28" s="69"/>
      <c r="L28" s="60"/>
      <c r="N28" s="70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60"/>
      <c r="AC28" s="38"/>
      <c r="AD28" s="340"/>
      <c r="AE28" s="321"/>
      <c r="AF28" s="321"/>
      <c r="AG28" s="321"/>
      <c r="AH28" s="321"/>
      <c r="AI28" s="321"/>
      <c r="AJ28" s="321"/>
      <c r="AK28" s="321"/>
      <c r="AL28" s="321"/>
      <c r="AM28" s="321"/>
      <c r="AN28" s="321"/>
      <c r="AO28" s="321"/>
      <c r="AP28" s="321"/>
      <c r="AQ28" s="321"/>
      <c r="AR28" s="321"/>
      <c r="AS28" s="339"/>
      <c r="AT28" s="38"/>
      <c r="AU28" s="169"/>
      <c r="AV28" s="205"/>
      <c r="AW28" s="243"/>
      <c r="AX28" s="243"/>
      <c r="AY28" s="243"/>
      <c r="AZ28" s="243"/>
      <c r="BA28" s="243"/>
      <c r="BB28" s="243"/>
      <c r="BC28" s="243"/>
      <c r="BD28" s="243"/>
      <c r="BE28" s="244"/>
      <c r="BF28" s="244"/>
      <c r="BG28" s="244"/>
      <c r="BH28" s="163"/>
      <c r="BI28" s="248"/>
      <c r="BJ28" s="205"/>
      <c r="BK28" s="240"/>
      <c r="BL28" s="240"/>
      <c r="BM28" s="240"/>
      <c r="BN28" s="240"/>
      <c r="BO28" s="240"/>
      <c r="BP28" s="169"/>
      <c r="BQ28" s="305">
        <f>IF($H$37=1,       $H$17,                 IF($H$37=2,      $H$17-BO96,               IF($H$37=3,       $H$17-BO96-BO152,       IF(H37=4,           H17-BO96-BO152-BO192,         0))))</f>
        <v>10000</v>
      </c>
      <c r="BR28" s="305">
        <f>BO33</f>
        <v>3</v>
      </c>
      <c r="BS28" s="305">
        <f>IF(BR28=1,       1,        2)</f>
        <v>2</v>
      </c>
      <c r="BT28" s="341">
        <f>IF(BR28&lt;3,      0,        BR28-2)</f>
        <v>1</v>
      </c>
      <c r="BU28" s="341">
        <f>IF(BR28=1,   IF(BQ28&lt;=AZ13,   AZ13,     IF(H15="Imperial",       BB67+((((H55-(H45/2))*AZ61*(AY65+H55))/1728)*(H33/100)),        BB67+((((H55-(H45/2))*AZ61*(AY65+H55))/1000000000)*(H33/100)))),                                      IF(BQ28&lt;=BD13,                BD13,               2*BB67))</f>
        <v>270.69916666666666</v>
      </c>
      <c r="BV28" s="341"/>
      <c r="BW28" s="341">
        <f>IF(BT28=0,            0,                BT28*BC67)</f>
        <v>126.64472222222221</v>
      </c>
      <c r="BX28" s="341"/>
      <c r="BY28" s="343" t="str">
        <f>IF(BS2=1,      "Maximum Number of Rows",                 "Minimum Number of Rows")</f>
        <v>Maximum Number of Rows</v>
      </c>
      <c r="BZ28" s="343"/>
      <c r="CA28" s="344" t="str">
        <f>IF(BS2=1,             "N/A",                "Maximum Number of Chambers per Full Row")</f>
        <v>N/A</v>
      </c>
      <c r="CB28" s="214"/>
      <c r="CC28" s="215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</row>
    <row r="29" spans="2:93" s="22" customFormat="1" ht="15.75" customHeight="1" x14ac:dyDescent="0.3">
      <c r="B29" s="59"/>
      <c r="C29" s="379" t="str">
        <f>IF($H$15="Imperial",           IF($H$19="SC-44",            "Stone Below Chambers (min. 9 inches)",           "Stone Below Chambers (min. 6 inches)"),                                                             IF($H$19="SC-44",             "Stone Below Chambers (min. 225 mm)","Stone Below Chambers (min. 150 mm)"))</f>
        <v>Stone Below Chambers (min. 6 inches)</v>
      </c>
      <c r="D29" s="379"/>
      <c r="E29" s="379"/>
      <c r="F29" s="379"/>
      <c r="G29" s="63"/>
      <c r="H29" s="384">
        <v>6</v>
      </c>
      <c r="I29" s="385"/>
      <c r="J29" s="63"/>
      <c r="K29" s="66" t="str">
        <f>IF($H$15="Imperial","in","mm")</f>
        <v>in</v>
      </c>
      <c r="L29" s="60"/>
      <c r="N29" s="70"/>
      <c r="O29" s="397" t="str">
        <f>IF(H37=1,     "SYSTEM LAYOUT",     IF(H37=2,     "2nd LAYER (top)",      IF(H37=3,      "3rd LAYER (top)",     "4th LAYER (top)")))</f>
        <v>SYSTEM LAYOUT</v>
      </c>
      <c r="P29" s="397"/>
      <c r="Q29" s="407" t="str">
        <f>IF(U31=0,        "This system has too few chambers. We suggest using fewer layers",     "")</f>
        <v/>
      </c>
      <c r="R29" s="407"/>
      <c r="S29" s="407"/>
      <c r="T29" s="407"/>
      <c r="U29" s="407"/>
      <c r="V29" s="407"/>
      <c r="W29" s="407"/>
      <c r="X29" s="407"/>
      <c r="Y29" s="407"/>
      <c r="Z29" s="407"/>
      <c r="AA29" s="407"/>
      <c r="AB29" s="408"/>
      <c r="AC29" s="38"/>
      <c r="AD29" s="340"/>
      <c r="AE29" s="321"/>
      <c r="AF29" s="321"/>
      <c r="AG29" s="321"/>
      <c r="AH29" s="321"/>
      <c r="AI29" s="321"/>
      <c r="AJ29" s="321"/>
      <c r="AK29" s="321"/>
      <c r="AL29" s="321"/>
      <c r="AM29" s="321"/>
      <c r="AN29" s="321"/>
      <c r="AO29" s="321"/>
      <c r="AP29" s="321"/>
      <c r="AQ29" s="321"/>
      <c r="AR29" s="321"/>
      <c r="AS29" s="339"/>
      <c r="AT29" s="38"/>
      <c r="AU29" s="169"/>
      <c r="AV29" s="205"/>
      <c r="AW29" s="302" t="s">
        <v>188</v>
      </c>
      <c r="AX29" s="353" t="s">
        <v>172</v>
      </c>
      <c r="AY29" s="353"/>
      <c r="AZ29" s="353"/>
      <c r="BA29" s="303" t="s">
        <v>174</v>
      </c>
      <c r="BB29" s="303"/>
      <c r="BC29" s="303"/>
      <c r="BD29" s="303"/>
      <c r="BE29" s="354" t="s">
        <v>175</v>
      </c>
      <c r="BF29" s="354"/>
      <c r="BG29" s="354"/>
      <c r="BH29" s="216" t="s">
        <v>191</v>
      </c>
      <c r="BI29" s="248"/>
      <c r="BJ29" s="205"/>
      <c r="BK29" s="240"/>
      <c r="BL29" s="240"/>
      <c r="BM29" s="240"/>
      <c r="BN29" s="240"/>
      <c r="BO29" s="240"/>
      <c r="BP29" s="251"/>
      <c r="BQ29" s="305"/>
      <c r="BR29" s="305"/>
      <c r="BS29" s="305"/>
      <c r="BT29" s="341"/>
      <c r="BU29" s="341"/>
      <c r="BV29" s="341"/>
      <c r="BW29" s="341"/>
      <c r="BX29" s="341"/>
      <c r="BY29" s="343"/>
      <c r="BZ29" s="343"/>
      <c r="CA29" s="344"/>
      <c r="CB29" s="214"/>
      <c r="CC29" s="220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</row>
    <row r="30" spans="2:93" s="22" customFormat="1" ht="4.5" customHeight="1" x14ac:dyDescent="0.25">
      <c r="B30" s="59"/>
      <c r="C30" s="196"/>
      <c r="D30" s="196"/>
      <c r="E30" s="196"/>
      <c r="F30" s="196"/>
      <c r="G30" s="63"/>
      <c r="H30" s="66"/>
      <c r="I30" s="66"/>
      <c r="J30" s="63"/>
      <c r="K30" s="69"/>
      <c r="L30" s="60"/>
      <c r="N30" s="70"/>
      <c r="O30" s="44"/>
      <c r="P30" s="44"/>
      <c r="Q30" s="44"/>
      <c r="R30" s="44"/>
      <c r="S30" s="44"/>
      <c r="T30" s="44"/>
      <c r="U30" s="44"/>
      <c r="V30" s="44"/>
      <c r="W30" s="44"/>
      <c r="X30" s="75"/>
      <c r="Y30" s="76"/>
      <c r="Z30" s="76"/>
      <c r="AA30" s="76"/>
      <c r="AB30" s="60"/>
      <c r="AC30" s="38"/>
      <c r="AD30" s="340"/>
      <c r="AE30" s="321"/>
      <c r="AF30" s="321"/>
      <c r="AG30" s="321"/>
      <c r="AH30" s="321"/>
      <c r="AI30" s="321"/>
      <c r="AJ30" s="321"/>
      <c r="AK30" s="321"/>
      <c r="AL30" s="321"/>
      <c r="AM30" s="321"/>
      <c r="AN30" s="321"/>
      <c r="AO30" s="321"/>
      <c r="AP30" s="321"/>
      <c r="AQ30" s="321"/>
      <c r="AR30" s="321"/>
      <c r="AS30" s="339"/>
      <c r="AT30" s="38"/>
      <c r="AU30" s="169"/>
      <c r="AV30" s="205"/>
      <c r="AW30" s="302"/>
      <c r="AX30" s="353"/>
      <c r="AY30" s="353"/>
      <c r="AZ30" s="353"/>
      <c r="BA30" s="243"/>
      <c r="BB30" s="243"/>
      <c r="BC30" s="243"/>
      <c r="BD30" s="243"/>
      <c r="BE30" s="244"/>
      <c r="BF30" s="244"/>
      <c r="BG30" s="244"/>
      <c r="BH30" s="163"/>
      <c r="BI30" s="248"/>
      <c r="BJ30" s="205"/>
      <c r="BK30" s="252"/>
      <c r="BL30" s="246"/>
      <c r="BM30" s="243"/>
      <c r="BN30" s="205"/>
      <c r="BO30" s="205"/>
      <c r="BP30" s="169"/>
      <c r="BQ30" s="341" t="s">
        <v>123</v>
      </c>
      <c r="BR30" s="341"/>
      <c r="BS30" s="344" t="s">
        <v>113</v>
      </c>
      <c r="BT30" s="344" t="s">
        <v>114</v>
      </c>
      <c r="BU30" s="344"/>
      <c r="BV30" s="343" t="s">
        <v>115</v>
      </c>
      <c r="BW30" s="366"/>
      <c r="BX30" s="341"/>
      <c r="BY30" s="343"/>
      <c r="BZ30" s="343"/>
      <c r="CA30" s="344"/>
      <c r="CB30" s="214"/>
      <c r="CC30" s="226"/>
      <c r="CD30" s="6"/>
      <c r="CE30" s="7"/>
      <c r="CF30" s="7"/>
      <c r="CG30" s="7"/>
      <c r="CH30" s="7"/>
      <c r="CI30" s="7"/>
      <c r="CJ30" s="7"/>
      <c r="CK30" s="7"/>
      <c r="CL30" s="7"/>
      <c r="CM30" s="7"/>
      <c r="CN30" s="12"/>
      <c r="CO30" s="12"/>
    </row>
    <row r="31" spans="2:93" s="22" customFormat="1" ht="15" customHeight="1" x14ac:dyDescent="0.25">
      <c r="B31" s="404" t="str">
        <f>IF($H$15="Imperial",             IF($H$19="SC-44",        "Total Cover Over Chambers (min. 22 inches; max. 96 inches)",        "Total Cover Over Chambers (min. 18 inches; max. 192 inches)"),                   IF($H$19="SC-44",       "Total Cover Over Chambers (min. 550 mm; max. 2435 mm)","Total Cover Over Chambers (min. 450 mm; max. 4875 mm)"))</f>
        <v>Total Cover Over Chambers (min. 18 inches; max. 192 inches)</v>
      </c>
      <c r="C31" s="379"/>
      <c r="D31" s="379"/>
      <c r="E31" s="379"/>
      <c r="F31" s="379"/>
      <c r="G31" s="63"/>
      <c r="H31" s="384">
        <v>18</v>
      </c>
      <c r="I31" s="385"/>
      <c r="J31" s="63"/>
      <c r="K31" s="65" t="str">
        <f>IF($H$15="Imperial",           "in",          "mm")</f>
        <v>in</v>
      </c>
      <c r="L31" s="60"/>
      <c r="N31" s="70"/>
      <c r="O31" s="186" t="s">
        <v>89</v>
      </c>
      <c r="P31" s="183">
        <f xml:space="preserve"> BO43</f>
        <v>222.91666666666666</v>
      </c>
      <c r="Q31" s="69" t="str">
        <f>IF(H$15="Imperial",    "ft",       "m")</f>
        <v>ft</v>
      </c>
      <c r="R31" s="333" t="s">
        <v>15</v>
      </c>
      <c r="S31" s="333"/>
      <c r="T31" s="69"/>
      <c r="U31" s="188">
        <f>IF(BQ12=0,      0,           IF(BO39="yes",          BT61,        BT57))</f>
        <v>1</v>
      </c>
      <c r="V31" s="63" t="s">
        <v>16</v>
      </c>
      <c r="W31" s="63"/>
      <c r="X31" s="63">
        <f>IF(BQ12=0,        0,         IF(BO39="yes",         BT63,       BT65))</f>
        <v>28</v>
      </c>
      <c r="Y31" s="63" t="s">
        <v>17</v>
      </c>
      <c r="Z31" s="63"/>
      <c r="AA31" s="77"/>
      <c r="AB31" s="60"/>
      <c r="AC31" s="38"/>
      <c r="AD31" s="340"/>
      <c r="AE31" s="321"/>
      <c r="AF31" s="321"/>
      <c r="AG31" s="321"/>
      <c r="AH31" s="321"/>
      <c r="AI31" s="321"/>
      <c r="AJ31" s="321"/>
      <c r="AK31" s="321"/>
      <c r="AL31" s="321"/>
      <c r="AM31" s="321"/>
      <c r="AN31" s="321"/>
      <c r="AO31" s="321"/>
      <c r="AP31" s="321"/>
      <c r="AQ31" s="321"/>
      <c r="AR31" s="321"/>
      <c r="AS31" s="339"/>
      <c r="AT31" s="38"/>
      <c r="AU31" s="169"/>
      <c r="AV31" s="205"/>
      <c r="AW31" s="302"/>
      <c r="AX31" s="352" t="s">
        <v>170</v>
      </c>
      <c r="AY31" s="352"/>
      <c r="AZ31" s="231">
        <f>IF(H15="Imperial",             (((((AZ5+H55)*(AY91+H55+(H45/2))*AZ89)/1728)-AZ7)*(H33/100)),                    (((((AZ5+H55)*(AY91+H55+(H45/2))*AZ89)/1000000000)-AZ7)*(H33/100)))</f>
        <v>-32.96</v>
      </c>
      <c r="BA31" s="352" t="s">
        <v>170</v>
      </c>
      <c r="BB31" s="352"/>
      <c r="BC31" s="352"/>
      <c r="BD31" s="231">
        <f>2*AZ31</f>
        <v>-65.92</v>
      </c>
      <c r="BE31" s="232" t="s">
        <v>170</v>
      </c>
      <c r="BF31" s="233"/>
      <c r="BG31" s="231">
        <f>2*BB93</f>
        <v>93.11999999999999</v>
      </c>
      <c r="BH31" s="216" t="s">
        <v>189</v>
      </c>
      <c r="BI31" s="248"/>
      <c r="BJ31" s="205"/>
      <c r="BK31" s="349" t="str">
        <f>IF($H$23=1,    "Max suggested number of rows",     "Min suggested number of rows")</f>
        <v>Min suggested number of rows</v>
      </c>
      <c r="BL31" s="349"/>
      <c r="BM31" s="349"/>
      <c r="BN31" s="349"/>
      <c r="BO31" s="212">
        <f>IF(BS2=1,      BX12,    BU20)</f>
        <v>8</v>
      </c>
      <c r="BP31" s="169"/>
      <c r="BQ31" s="341"/>
      <c r="BR31" s="341"/>
      <c r="BS31" s="344"/>
      <c r="BT31" s="344"/>
      <c r="BU31" s="344"/>
      <c r="BV31" s="366"/>
      <c r="BW31" s="366"/>
      <c r="BX31" s="341"/>
      <c r="BY31" s="343"/>
      <c r="BZ31" s="343"/>
      <c r="CA31" s="344"/>
      <c r="CB31" s="214"/>
      <c r="CC31" s="226"/>
      <c r="CD31" s="6"/>
      <c r="CE31" s="7"/>
      <c r="CF31" s="7"/>
      <c r="CG31" s="7"/>
      <c r="CH31" s="7"/>
      <c r="CI31" s="7"/>
      <c r="CJ31" s="7"/>
      <c r="CK31" s="7"/>
      <c r="CL31" s="7"/>
      <c r="CM31" s="7"/>
      <c r="CN31" s="12"/>
      <c r="CO31" s="12"/>
    </row>
    <row r="32" spans="2:93" s="22" customFormat="1" ht="4.5" customHeight="1" x14ac:dyDescent="0.25">
      <c r="B32" s="59"/>
      <c r="C32" s="196"/>
      <c r="D32" s="196"/>
      <c r="E32" s="196"/>
      <c r="F32" s="196"/>
      <c r="G32" s="63"/>
      <c r="H32" s="66"/>
      <c r="I32" s="66"/>
      <c r="J32" s="63"/>
      <c r="K32" s="66"/>
      <c r="L32" s="60"/>
      <c r="N32" s="70"/>
      <c r="O32" s="63"/>
      <c r="P32" s="63"/>
      <c r="Q32" s="69"/>
      <c r="R32" s="63"/>
      <c r="S32" s="64"/>
      <c r="T32" s="63"/>
      <c r="U32" s="63"/>
      <c r="V32" s="63"/>
      <c r="W32" s="63"/>
      <c r="X32" s="63"/>
      <c r="Y32" s="63"/>
      <c r="Z32" s="63"/>
      <c r="AA32" s="77"/>
      <c r="AB32" s="60"/>
      <c r="AC32" s="38"/>
      <c r="AD32" s="340"/>
      <c r="AE32" s="321"/>
      <c r="AF32" s="321"/>
      <c r="AG32" s="321"/>
      <c r="AH32" s="321"/>
      <c r="AI32" s="321"/>
      <c r="AJ32" s="321"/>
      <c r="AK32" s="321"/>
      <c r="AL32" s="321"/>
      <c r="AM32" s="321"/>
      <c r="AN32" s="321"/>
      <c r="AO32" s="321"/>
      <c r="AP32" s="321"/>
      <c r="AQ32" s="321"/>
      <c r="AR32" s="321"/>
      <c r="AS32" s="339"/>
      <c r="AT32" s="38"/>
      <c r="AU32" s="169"/>
      <c r="AV32" s="205"/>
      <c r="AW32" s="302"/>
      <c r="AX32" s="236"/>
      <c r="AY32" s="233"/>
      <c r="AZ32" s="231"/>
      <c r="BA32" s="222"/>
      <c r="BB32" s="168"/>
      <c r="BC32" s="237"/>
      <c r="BD32" s="231"/>
      <c r="BE32" s="236"/>
      <c r="BF32" s="233"/>
      <c r="BG32" s="231"/>
      <c r="BH32" s="216"/>
      <c r="BI32" s="248"/>
      <c r="BJ32" s="205"/>
      <c r="BK32" s="253"/>
      <c r="BL32" s="253"/>
      <c r="BM32" s="253"/>
      <c r="BN32" s="253"/>
      <c r="BO32" s="163"/>
      <c r="BP32" s="169"/>
      <c r="BQ32" s="341"/>
      <c r="BR32" s="341"/>
      <c r="BS32" s="344"/>
      <c r="BT32" s="344"/>
      <c r="BU32" s="344"/>
      <c r="BV32" s="366"/>
      <c r="BW32" s="366"/>
      <c r="BX32" s="341"/>
      <c r="BY32" s="305">
        <f>IF(BS2=1,            IF(BY12&lt;BX12,           BY12,        BX12),        BU20)</f>
        <v>8</v>
      </c>
      <c r="BZ32" s="305"/>
      <c r="CA32" s="309">
        <f>IF(BS2=1,         0,                             BX12)</f>
        <v>0</v>
      </c>
      <c r="CB32" s="214"/>
      <c r="CC32" s="254"/>
      <c r="CD32" s="31"/>
      <c r="CE32" s="12"/>
      <c r="CF32" s="12"/>
      <c r="CG32" s="24"/>
      <c r="CH32" s="24"/>
      <c r="CI32" s="24"/>
      <c r="CJ32" s="24"/>
      <c r="CK32" s="24"/>
      <c r="CL32" s="24"/>
      <c r="CM32" s="24"/>
      <c r="CN32" s="12"/>
      <c r="CO32" s="12"/>
    </row>
    <row r="33" spans="2:93" s="22" customFormat="1" ht="15" customHeight="1" x14ac:dyDescent="0.25">
      <c r="B33" s="59"/>
      <c r="C33" s="379" t="s">
        <v>199</v>
      </c>
      <c r="D33" s="379"/>
      <c r="E33" s="379"/>
      <c r="F33" s="379"/>
      <c r="G33" s="63"/>
      <c r="H33" s="384">
        <v>40</v>
      </c>
      <c r="I33" s="385"/>
      <c r="J33" s="63"/>
      <c r="K33" s="65" t="s">
        <v>3</v>
      </c>
      <c r="L33" s="60"/>
      <c r="N33" s="70"/>
      <c r="O33" s="78" t="s">
        <v>87</v>
      </c>
      <c r="P33" s="79">
        <f>BO45</f>
        <v>18.5</v>
      </c>
      <c r="Q33" s="66" t="str">
        <f>IF(H$15="Imperial",    "ft",       "m")</f>
        <v>ft</v>
      </c>
      <c r="R33" s="334" t="s">
        <v>15</v>
      </c>
      <c r="S33" s="334"/>
      <c r="T33" s="66"/>
      <c r="U33" s="79">
        <f>IF(BO39="yes",      BT59,     0)</f>
        <v>2</v>
      </c>
      <c r="V33" s="65" t="s">
        <v>16</v>
      </c>
      <c r="W33" s="65"/>
      <c r="X33" s="65">
        <f>IF(BO39="yes",         BT65,            0)</f>
        <v>29</v>
      </c>
      <c r="Y33" s="65" t="s">
        <v>17</v>
      </c>
      <c r="Z33" s="65"/>
      <c r="AA33" s="199"/>
      <c r="AB33" s="60"/>
      <c r="AC33" s="38"/>
      <c r="AD33" s="340"/>
      <c r="AE33" s="321"/>
      <c r="AF33" s="321"/>
      <c r="AG33" s="321"/>
      <c r="AH33" s="321"/>
      <c r="AI33" s="321"/>
      <c r="AJ33" s="321"/>
      <c r="AK33" s="321"/>
      <c r="AL33" s="321"/>
      <c r="AM33" s="321"/>
      <c r="AN33" s="321"/>
      <c r="AO33" s="321"/>
      <c r="AP33" s="321"/>
      <c r="AQ33" s="321"/>
      <c r="AR33" s="321"/>
      <c r="AS33" s="339"/>
      <c r="AT33" s="38"/>
      <c r="AU33" s="169"/>
      <c r="AV33" s="205"/>
      <c r="AW33" s="302"/>
      <c r="AX33" s="236" t="s">
        <v>171</v>
      </c>
      <c r="AY33" s="233"/>
      <c r="AZ33" s="231">
        <f>IF(H15="Imperial",                                     (((AZ91*H55*AZ89)/1728)*(H33/100))+((((H55-(H45/2))*(AZ5+H55+H55)*AZ89)/1728)*(H33/100)),                                                                                                                                            (((AZ91*H55*AZ89)/1000000000)*(H33/100))+((((H55-(H45/2))*(AZ5+H55+H55)*AZ89)/1000000000)*(H33/100)))</f>
        <v>0</v>
      </c>
      <c r="BA33" s="351" t="s">
        <v>171</v>
      </c>
      <c r="BB33" s="351"/>
      <c r="BC33" s="351"/>
      <c r="BD33" s="231">
        <f>IF(H15="Imperial",                2*(((AZ89*AZ91*H55)/1728)*(H33/100)),                            2*(((AZ89*AZ91*H55)/1000000000)*(H33/100)))</f>
        <v>0</v>
      </c>
      <c r="BE33" s="236" t="s">
        <v>171</v>
      </c>
      <c r="BF33" s="233"/>
      <c r="BG33" s="231">
        <f>IF(H15="Imperial",                      2*(((AZ89*(H55-(H45/2))*(AY92+H55))/1728)*(H33/100)),                      2*(((AZ89*(H55-(H45/2))*(AY92+H55))/1000000000)*(H33/100)))</f>
        <v>0</v>
      </c>
      <c r="BH33" s="216">
        <f>IF(H15="Imperial",           (((BA89*(BA91)*(AZ5+H55))/1728)-AZ7)*(H33/100),                    (((BA89*(BA91)*(AZ5+H55))/1000000000)-AZ7)*(H33/100))</f>
        <v>-32.96</v>
      </c>
      <c r="BI33" s="248"/>
      <c r="BJ33" s="205"/>
      <c r="BK33" s="350" t="str">
        <f>IF(H37=1,      "Chosen number of rows",    "Default number of rows")</f>
        <v>Chosen number of rows</v>
      </c>
      <c r="BL33" s="350"/>
      <c r="BM33" s="350"/>
      <c r="BN33" s="350"/>
      <c r="BO33" s="248">
        <f>IF(H37=1,       H41,         IF(OR(H37=2,H37=4),           IF(BS2=1,       BX12,     BU20),              IF(BS2=1,              IF(BY12&lt;BX12,        BY12,      BX12),             BU20)))</f>
        <v>3</v>
      </c>
      <c r="BP33" s="169"/>
      <c r="BQ33" s="341"/>
      <c r="BR33" s="341"/>
      <c r="BS33" s="344"/>
      <c r="BT33" s="344"/>
      <c r="BU33" s="344"/>
      <c r="BV33" s="366"/>
      <c r="BW33" s="366"/>
      <c r="BX33" s="341"/>
      <c r="BY33" s="305"/>
      <c r="BZ33" s="305"/>
      <c r="CA33" s="309"/>
      <c r="CB33" s="214"/>
      <c r="CC33" s="254"/>
      <c r="CD33" s="31"/>
      <c r="CE33" s="12"/>
      <c r="CF33" s="12"/>
      <c r="CG33" s="24"/>
      <c r="CH33" s="24"/>
      <c r="CI33" s="24"/>
      <c r="CJ33" s="24"/>
      <c r="CK33" s="24"/>
      <c r="CL33" s="24"/>
      <c r="CM33" s="24"/>
      <c r="CN33" s="12"/>
      <c r="CO33" s="12"/>
    </row>
    <row r="34" spans="2:93" s="22" customFormat="1" ht="4.5" customHeight="1" x14ac:dyDescent="0.25">
      <c r="B34" s="59"/>
      <c r="C34" s="196"/>
      <c r="D34" s="196"/>
      <c r="E34" s="196"/>
      <c r="F34" s="196"/>
      <c r="G34" s="63"/>
      <c r="H34" s="66"/>
      <c r="I34" s="66"/>
      <c r="J34" s="63"/>
      <c r="K34" s="66"/>
      <c r="L34" s="60"/>
      <c r="N34" s="70"/>
      <c r="O34" s="63"/>
      <c r="P34" s="63"/>
      <c r="Q34" s="69"/>
      <c r="R34" s="69"/>
      <c r="S34" s="187"/>
      <c r="T34" s="69"/>
      <c r="U34" s="188"/>
      <c r="V34" s="63"/>
      <c r="W34" s="63"/>
      <c r="X34" s="63"/>
      <c r="Y34" s="63"/>
      <c r="Z34" s="63"/>
      <c r="AA34" s="63"/>
      <c r="AB34" s="60"/>
      <c r="AC34" s="38"/>
      <c r="AD34" s="340"/>
      <c r="AE34" s="321"/>
      <c r="AF34" s="321"/>
      <c r="AG34" s="321"/>
      <c r="AH34" s="321"/>
      <c r="AI34" s="321"/>
      <c r="AJ34" s="321"/>
      <c r="AK34" s="321"/>
      <c r="AL34" s="321"/>
      <c r="AM34" s="321"/>
      <c r="AN34" s="321"/>
      <c r="AO34" s="321"/>
      <c r="AP34" s="321"/>
      <c r="AQ34" s="321"/>
      <c r="AR34" s="321"/>
      <c r="AS34" s="339"/>
      <c r="AT34" s="38"/>
      <c r="AU34" s="169"/>
      <c r="AV34" s="205"/>
      <c r="AW34" s="302"/>
      <c r="AX34" s="233"/>
      <c r="AY34" s="233"/>
      <c r="AZ34" s="231"/>
      <c r="BA34" s="233"/>
      <c r="BB34" s="163"/>
      <c r="BC34" s="233"/>
      <c r="BD34" s="231"/>
      <c r="BE34" s="233"/>
      <c r="BF34" s="233"/>
      <c r="BG34" s="231"/>
      <c r="BH34" s="216"/>
      <c r="BI34" s="248"/>
      <c r="BJ34" s="205"/>
      <c r="BK34" s="255"/>
      <c r="BL34" s="255"/>
      <c r="BM34" s="255"/>
      <c r="BN34" s="256"/>
      <c r="BO34" s="248"/>
      <c r="BP34" s="169"/>
      <c r="BQ34" s="341"/>
      <c r="BR34" s="341"/>
      <c r="BS34" s="305">
        <f>IF(BS2=1,          IF(BR28=1,         IF(BQ28&lt;=AZ13,       1,        2),          IF(BR28=2,                     IF(BQ28&lt;=BD13,             1,           2),                                            IF(H15="Imperial",                                                                                                                                                                                   IF(BQ28&lt;=((2*(BB67+(((AZ61*AZ63*H55)/1728)*(H33/100))))+(BT28*(BC67+(((BA61*BA63*H55)/1728)*(H33/100))))),       1,       2),                                                                                                                                     IF(BQ28&lt;=((2*(BB67+(((AZ61*AZ63*H55)/1000000000)*(H33/100))))+(BT28*(BC67+(((BA61*BA63*H55)/1000000000)*(H33/100))))),       1,       2)))),         IF(BX12=1,        1,    2))</f>
        <v>2</v>
      </c>
      <c r="BT34" s="305">
        <f>IF(BQ28&lt;=(2*(BU28+BW28)),          0,             IF(AND(BR28=1,BQ28&lt;=BG13), 0,  IF(H15="Imperial",           IF(BR28=1,                        ROUNDUP((BQ28-(BG13))/(BG67+((((H55-(H45/2))*BE61*BE65)/1728)*(H33/100))),0),                                                                                                                                         IF(BR28=2,             ROUNDUP((BQ28-(2*BU28))/(2*BG67),0),                 ROUNDUP((BQ28-(2*(BU28+BW28)))/((2*BG67)+(BT28*BH67)),0))),                                                                                                                                                                                                           IF(BR28=1,                        ROUNDUP((BQ28-(BG13))/(BG67+((((H55-(H45/2))*BE61*BE65)/1000000000)*(H33/100))),0),                                                                                                                                                             IF(BR28=2,                        ROUNDUP((BQ28-(2*BU28))/(2*BG67),0),             ROUNDUP((BQ28-(2*(BU28+BW28)))/((2*BG67)+(BT28*BH67)),0))))))</f>
        <v>27</v>
      </c>
      <c r="BU34" s="305"/>
      <c r="BV34" s="305">
        <f>BS34+BT34</f>
        <v>29</v>
      </c>
      <c r="BW34" s="305"/>
      <c r="BX34" s="341"/>
      <c r="BY34" s="343" t="s">
        <v>105</v>
      </c>
      <c r="BZ34" s="343"/>
      <c r="CA34" s="343"/>
      <c r="CB34" s="214"/>
      <c r="CC34" s="214"/>
      <c r="CD34" s="7"/>
      <c r="CE34" s="7"/>
      <c r="CF34" s="7"/>
      <c r="CG34" s="7"/>
      <c r="CH34" s="7"/>
      <c r="CI34" s="7"/>
      <c r="CJ34" s="7"/>
      <c r="CK34" s="24"/>
      <c r="CL34" s="24"/>
      <c r="CM34" s="24"/>
      <c r="CN34" s="12"/>
      <c r="CO34" s="12"/>
    </row>
    <row r="35" spans="2:93" s="22" customFormat="1" ht="15" customHeight="1" x14ac:dyDescent="0.25">
      <c r="B35" s="59"/>
      <c r="C35" s="188"/>
      <c r="D35" s="188"/>
      <c r="E35" s="188"/>
      <c r="F35" s="188"/>
      <c r="G35" s="44"/>
      <c r="H35" s="69"/>
      <c r="I35" s="69"/>
      <c r="J35" s="44"/>
      <c r="K35" s="44"/>
      <c r="L35" s="60"/>
      <c r="N35" s="70"/>
      <c r="O35" s="113" t="s">
        <v>88</v>
      </c>
      <c r="P35" s="201">
        <f>IF(H37=1,         IF(H15="Imperial",    (AY61+H27+H29)/12,            (AY61+H27+H29)/1000),            IF(H15="Imperial",                (AY61+H27+(H39/2))/12,              (AY61+H27+(H39/2))/1000))</f>
        <v>3.8333333333333335</v>
      </c>
      <c r="Q35" s="69" t="str">
        <f>IF(H$15="Imperial",    "ft",       "m")</f>
        <v>ft</v>
      </c>
      <c r="R35" s="332" t="s">
        <v>157</v>
      </c>
      <c r="S35" s="332"/>
      <c r="T35" s="332"/>
      <c r="U35" s="332"/>
      <c r="V35" s="326">
        <f>BO41</f>
        <v>10030.303055555556</v>
      </c>
      <c r="W35" s="326"/>
      <c r="X35" s="326"/>
      <c r="Y35" s="63" t="str">
        <f>IF(H15="Imperial",        "Cubic Feet",        "Cubic Meters")</f>
        <v>Cubic Feet</v>
      </c>
      <c r="Z35" s="63"/>
      <c r="AA35" s="80"/>
      <c r="AB35" s="60"/>
      <c r="AC35" s="38"/>
      <c r="AD35" s="340"/>
      <c r="AE35" s="321"/>
      <c r="AF35" s="321"/>
      <c r="AG35" s="321"/>
      <c r="AH35" s="321"/>
      <c r="AI35" s="321"/>
      <c r="AJ35" s="321"/>
      <c r="AK35" s="321"/>
      <c r="AL35" s="321"/>
      <c r="AM35" s="321"/>
      <c r="AN35" s="321"/>
      <c r="AO35" s="321"/>
      <c r="AP35" s="321"/>
      <c r="AQ35" s="321"/>
      <c r="AR35" s="321"/>
      <c r="AS35" s="339"/>
      <c r="AT35" s="38"/>
      <c r="AU35" s="169"/>
      <c r="AV35" s="205"/>
      <c r="AW35" s="302"/>
      <c r="AX35" s="347" t="s">
        <v>173</v>
      </c>
      <c r="AY35" s="347"/>
      <c r="AZ35" s="241">
        <f>AZ31+AZ33+AZ7</f>
        <v>49.440000000000005</v>
      </c>
      <c r="BA35" s="347" t="s">
        <v>173</v>
      </c>
      <c r="BB35" s="347"/>
      <c r="BC35" s="347"/>
      <c r="BD35" s="241">
        <f>BD31+BD33+BD7</f>
        <v>98.88000000000001</v>
      </c>
      <c r="BE35" s="347" t="s">
        <v>173</v>
      </c>
      <c r="BF35" s="347"/>
      <c r="BG35" s="241">
        <f>BG31+BG33</f>
        <v>93.11999999999999</v>
      </c>
      <c r="BH35" s="216" t="s">
        <v>190</v>
      </c>
      <c r="BI35" s="248"/>
      <c r="BJ35" s="205"/>
      <c r="BK35" s="350" t="str">
        <f>IF($H$23=1,       "Min number of chambers per full Row",      "Max number of chambers per Row")</f>
        <v>Max number of chambers per Row</v>
      </c>
      <c r="BL35" s="350"/>
      <c r="BM35" s="350"/>
      <c r="BN35" s="350"/>
      <c r="BO35" s="248">
        <f>IF(BW54=0,      BR54,        BV34)</f>
        <v>29</v>
      </c>
      <c r="BP35" s="163"/>
      <c r="BQ35" s="341"/>
      <c r="BR35" s="341"/>
      <c r="BS35" s="305"/>
      <c r="BT35" s="305"/>
      <c r="BU35" s="305"/>
      <c r="BV35" s="305"/>
      <c r="BW35" s="305"/>
      <c r="BX35" s="341"/>
      <c r="BY35" s="343"/>
      <c r="BZ35" s="343"/>
      <c r="CA35" s="343"/>
      <c r="CB35" s="214"/>
      <c r="CC35" s="214"/>
      <c r="CD35" s="7"/>
      <c r="CE35" s="7"/>
      <c r="CF35" s="7"/>
      <c r="CG35" s="7"/>
      <c r="CH35" s="7"/>
      <c r="CI35" s="7"/>
      <c r="CJ35" s="7"/>
      <c r="CK35" s="24"/>
      <c r="CL35" s="24"/>
      <c r="CM35" s="24"/>
      <c r="CN35" s="12"/>
      <c r="CO35" s="12"/>
    </row>
    <row r="36" spans="2:93" s="22" customFormat="1" ht="4.5" customHeight="1" x14ac:dyDescent="0.25">
      <c r="B36" s="81"/>
      <c r="C36" s="198"/>
      <c r="D36" s="198"/>
      <c r="E36" s="198"/>
      <c r="F36" s="198"/>
      <c r="G36" s="63"/>
      <c r="H36" s="66"/>
      <c r="I36" s="66"/>
      <c r="J36" s="63"/>
      <c r="K36" s="65"/>
      <c r="L36" s="60"/>
      <c r="N36" s="70"/>
      <c r="O36" s="186"/>
      <c r="P36" s="188"/>
      <c r="Q36" s="69"/>
      <c r="R36" s="69"/>
      <c r="S36" s="187"/>
      <c r="T36" s="69"/>
      <c r="U36" s="69"/>
      <c r="V36" s="63"/>
      <c r="W36" s="63"/>
      <c r="X36" s="63"/>
      <c r="Y36" s="63"/>
      <c r="Z36" s="63"/>
      <c r="AA36" s="63"/>
      <c r="AB36" s="60"/>
      <c r="AC36" s="38"/>
      <c r="AD36" s="340"/>
      <c r="AE36" s="321"/>
      <c r="AF36" s="321"/>
      <c r="AG36" s="321"/>
      <c r="AH36" s="321"/>
      <c r="AI36" s="321"/>
      <c r="AJ36" s="321"/>
      <c r="AK36" s="321"/>
      <c r="AL36" s="321"/>
      <c r="AM36" s="321"/>
      <c r="AN36" s="321"/>
      <c r="AO36" s="321"/>
      <c r="AP36" s="321"/>
      <c r="AQ36" s="321"/>
      <c r="AR36" s="321"/>
      <c r="AS36" s="339"/>
      <c r="AT36" s="38"/>
      <c r="AU36" s="169"/>
      <c r="AV36" s="205"/>
      <c r="AW36" s="221"/>
      <c r="AX36" s="221"/>
      <c r="AY36" s="221"/>
      <c r="AZ36" s="221"/>
      <c r="BA36" s="221"/>
      <c r="BB36" s="163"/>
      <c r="BC36" s="163"/>
      <c r="BD36" s="221"/>
      <c r="BE36" s="221"/>
      <c r="BF36" s="221"/>
      <c r="BG36" s="221"/>
      <c r="BH36" s="238"/>
      <c r="BI36" s="205"/>
      <c r="BJ36" s="205"/>
      <c r="BK36" s="255"/>
      <c r="BL36" s="255"/>
      <c r="BM36" s="255"/>
      <c r="BN36" s="256"/>
      <c r="BO36" s="248"/>
      <c r="BP36" s="169"/>
      <c r="BQ36" s="343" t="s">
        <v>124</v>
      </c>
      <c r="BR36" s="343" t="s">
        <v>125</v>
      </c>
      <c r="BS36" s="344" t="s">
        <v>127</v>
      </c>
      <c r="BT36" s="344" t="s">
        <v>126</v>
      </c>
      <c r="BU36" s="309"/>
      <c r="BV36" s="309"/>
      <c r="BW36" s="309"/>
      <c r="BX36" s="341"/>
      <c r="BY36" s="344" t="s">
        <v>106</v>
      </c>
      <c r="BZ36" s="344"/>
      <c r="CA36" s="308" t="s">
        <v>107</v>
      </c>
      <c r="CB36" s="214"/>
      <c r="CC36" s="206"/>
      <c r="CD36" s="9"/>
      <c r="CE36" s="9"/>
      <c r="CF36" s="9"/>
      <c r="CG36" s="9"/>
      <c r="CH36" s="9"/>
      <c r="CI36" s="9"/>
      <c r="CJ36" s="9"/>
      <c r="CK36" s="24"/>
      <c r="CL36" s="24"/>
      <c r="CM36" s="24"/>
      <c r="CN36" s="12"/>
      <c r="CO36" s="12"/>
    </row>
    <row r="37" spans="2:93" s="22" customFormat="1" ht="15" customHeight="1" x14ac:dyDescent="0.25">
      <c r="B37" s="81"/>
      <c r="C37" s="398" t="s">
        <v>197</v>
      </c>
      <c r="D37" s="398"/>
      <c r="E37" s="398"/>
      <c r="F37" s="398"/>
      <c r="G37" s="63"/>
      <c r="H37" s="384">
        <v>1</v>
      </c>
      <c r="I37" s="385"/>
      <c r="J37" s="63"/>
      <c r="K37" s="69"/>
      <c r="L37" s="60"/>
      <c r="N37" s="70"/>
      <c r="O37" s="44"/>
      <c r="P37" s="44"/>
      <c r="Q37" s="44"/>
      <c r="R37" s="332" t="s">
        <v>204</v>
      </c>
      <c r="S37" s="332"/>
      <c r="T37" s="332"/>
      <c r="U37" s="332"/>
      <c r="V37" s="413">
        <f>(U31*X31)+(U33*X33)</f>
        <v>86</v>
      </c>
      <c r="W37" s="413"/>
      <c r="X37" s="413"/>
      <c r="Y37" s="44"/>
      <c r="Z37" s="44"/>
      <c r="AA37" s="63"/>
      <c r="AB37" s="60"/>
      <c r="AC37" s="38"/>
      <c r="AD37" s="340"/>
      <c r="AE37" s="321"/>
      <c r="AF37" s="321"/>
      <c r="AG37" s="321"/>
      <c r="AH37" s="321"/>
      <c r="AI37" s="321"/>
      <c r="AJ37" s="321"/>
      <c r="AK37" s="321"/>
      <c r="AL37" s="321"/>
      <c r="AM37" s="321"/>
      <c r="AN37" s="321"/>
      <c r="AO37" s="321"/>
      <c r="AP37" s="321"/>
      <c r="AQ37" s="321"/>
      <c r="AR37" s="321"/>
      <c r="AS37" s="339"/>
      <c r="AT37" s="38"/>
      <c r="AU37" s="169"/>
      <c r="AV37" s="205"/>
      <c r="AW37" s="308"/>
      <c r="AX37" s="308"/>
      <c r="AY37" s="308"/>
      <c r="AZ37" s="308"/>
      <c r="BA37" s="308"/>
      <c r="BB37" s="308"/>
      <c r="BC37" s="308"/>
      <c r="BD37" s="308"/>
      <c r="BE37" s="308"/>
      <c r="BF37" s="308"/>
      <c r="BG37" s="308"/>
      <c r="BH37" s="216">
        <f>IF(H15="Imperial",                (((BA89*(BA91)*H55)/1728)*(H33/100)),                     (((BA89*(BA91)*H55)/1000000000)*(H33/100)))</f>
        <v>0</v>
      </c>
      <c r="BI37" s="248"/>
      <c r="BJ37" s="205"/>
      <c r="BK37" s="350" t="s">
        <v>42</v>
      </c>
      <c r="BL37" s="350"/>
      <c r="BM37" s="350"/>
      <c r="BN37" s="350"/>
      <c r="BO37" s="248">
        <f>BT59</f>
        <v>2</v>
      </c>
      <c r="BP37" s="169"/>
      <c r="BQ37" s="343"/>
      <c r="BR37" s="343"/>
      <c r="BS37" s="344"/>
      <c r="BT37" s="344"/>
      <c r="BU37" s="309"/>
      <c r="BV37" s="309"/>
      <c r="BW37" s="309"/>
      <c r="BX37" s="341"/>
      <c r="BY37" s="344"/>
      <c r="BZ37" s="344"/>
      <c r="CA37" s="308"/>
      <c r="CB37" s="214"/>
      <c r="CC37" s="206"/>
      <c r="CD37" s="9"/>
      <c r="CE37" s="9"/>
      <c r="CF37" s="9"/>
      <c r="CG37" s="9"/>
      <c r="CH37" s="9"/>
      <c r="CI37" s="9"/>
      <c r="CJ37" s="9"/>
      <c r="CK37" s="24"/>
      <c r="CL37" s="24"/>
      <c r="CM37" s="24"/>
      <c r="CN37" s="12"/>
      <c r="CO37" s="12"/>
    </row>
    <row r="38" spans="2:93" s="22" customFormat="1" ht="4.5" customHeight="1" x14ac:dyDescent="0.25">
      <c r="B38" s="81"/>
      <c r="C38" s="197"/>
      <c r="D38" s="197"/>
      <c r="E38" s="197"/>
      <c r="F38" s="197"/>
      <c r="G38" s="63"/>
      <c r="H38" s="69"/>
      <c r="I38" s="69"/>
      <c r="J38" s="63"/>
      <c r="K38" s="69"/>
      <c r="L38" s="60"/>
      <c r="N38" s="70"/>
      <c r="O38" s="44"/>
      <c r="P38" s="44"/>
      <c r="Q38" s="44"/>
      <c r="R38" s="69"/>
      <c r="S38" s="187"/>
      <c r="T38" s="69"/>
      <c r="U38" s="69"/>
      <c r="V38" s="188"/>
      <c r="W38" s="188"/>
      <c r="X38" s="188"/>
      <c r="Y38" s="63"/>
      <c r="Z38" s="63"/>
      <c r="AA38" s="63"/>
      <c r="AB38" s="60"/>
      <c r="AC38" s="38"/>
      <c r="AD38" s="340"/>
      <c r="AE38" s="321"/>
      <c r="AF38" s="321"/>
      <c r="AG38" s="321"/>
      <c r="AH38" s="321"/>
      <c r="AI38" s="321"/>
      <c r="AJ38" s="321"/>
      <c r="AK38" s="321"/>
      <c r="AL38" s="321"/>
      <c r="AM38" s="321"/>
      <c r="AN38" s="321"/>
      <c r="AO38" s="321"/>
      <c r="AP38" s="321"/>
      <c r="AQ38" s="321"/>
      <c r="AR38" s="321"/>
      <c r="AS38" s="339"/>
      <c r="AT38" s="38"/>
      <c r="AU38" s="169"/>
      <c r="AV38" s="205"/>
      <c r="AW38" s="308"/>
      <c r="AX38" s="308"/>
      <c r="AY38" s="308"/>
      <c r="AZ38" s="308"/>
      <c r="BA38" s="308"/>
      <c r="BB38" s="308"/>
      <c r="BC38" s="308"/>
      <c r="BD38" s="308"/>
      <c r="BE38" s="308"/>
      <c r="BF38" s="308"/>
      <c r="BG38" s="308"/>
      <c r="BH38" s="216"/>
      <c r="BI38" s="243"/>
      <c r="BJ38" s="205"/>
      <c r="BK38" s="255"/>
      <c r="BL38" s="255"/>
      <c r="BM38" s="255"/>
      <c r="BN38" s="256"/>
      <c r="BO38" s="248"/>
      <c r="BP38" s="169"/>
      <c r="BQ38" s="343"/>
      <c r="BR38" s="343"/>
      <c r="BS38" s="344"/>
      <c r="BT38" s="344"/>
      <c r="BU38" s="309"/>
      <c r="BV38" s="309"/>
      <c r="BW38" s="309"/>
      <c r="BX38" s="341"/>
      <c r="BY38" s="344"/>
      <c r="BZ38" s="344"/>
      <c r="CA38" s="308"/>
      <c r="CB38" s="214"/>
      <c r="CC38" s="214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12"/>
      <c r="CO38" s="12"/>
    </row>
    <row r="39" spans="2:93" s="22" customFormat="1" ht="15" customHeight="1" x14ac:dyDescent="0.25">
      <c r="B39" s="81"/>
      <c r="C39" s="398" t="str">
        <f>IF(H15="Imperial","Space Between each Layer (min. 12 Inches)","Space Between each Layer (min. 300mm)")</f>
        <v>Space Between each Layer (min. 12 Inches)</v>
      </c>
      <c r="D39" s="398"/>
      <c r="E39" s="398"/>
      <c r="F39" s="398"/>
      <c r="G39" s="63"/>
      <c r="H39" s="382">
        <v>12</v>
      </c>
      <c r="I39" s="383"/>
      <c r="J39" s="63"/>
      <c r="K39" s="66" t="str">
        <f>IF($H$15="Imperial","in","mm")</f>
        <v>in</v>
      </c>
      <c r="L39" s="60"/>
      <c r="N39" s="70"/>
      <c r="O39" s="418" t="str">
        <f>IF(AND(H19="SC-44",H37&gt;1),  "We recommend using the SC-34 for multi-layer systems instead of the SC-44", IF(AND(H19="SC-18",H37&gt;1),  "We do not recommend creating multi-layered systems with the SC-18", ""))</f>
        <v/>
      </c>
      <c r="P39" s="418"/>
      <c r="Q39" s="418"/>
      <c r="R39" s="418"/>
      <c r="S39" s="418"/>
      <c r="T39" s="418"/>
      <c r="U39" s="418"/>
      <c r="V39" s="418"/>
      <c r="W39" s="418"/>
      <c r="X39" s="418"/>
      <c r="Y39" s="418"/>
      <c r="Z39" s="418"/>
      <c r="AA39" s="418"/>
      <c r="AB39" s="60"/>
      <c r="AC39" s="38"/>
      <c r="AD39" s="340"/>
      <c r="AE39" s="321"/>
      <c r="AF39" s="321"/>
      <c r="AG39" s="321"/>
      <c r="AH39" s="321"/>
      <c r="AI39" s="321"/>
      <c r="AJ39" s="321"/>
      <c r="AK39" s="321"/>
      <c r="AL39" s="321"/>
      <c r="AM39" s="321"/>
      <c r="AN39" s="321"/>
      <c r="AO39" s="321"/>
      <c r="AP39" s="321"/>
      <c r="AQ39" s="321"/>
      <c r="AR39" s="321"/>
      <c r="AS39" s="339"/>
      <c r="AT39" s="38"/>
      <c r="AU39" s="169"/>
      <c r="AV39" s="205"/>
      <c r="AW39" s="308"/>
      <c r="AX39" s="308"/>
      <c r="AY39" s="308"/>
      <c r="AZ39" s="308"/>
      <c r="BA39" s="308"/>
      <c r="BB39" s="308"/>
      <c r="BC39" s="308"/>
      <c r="BD39" s="308"/>
      <c r="BE39" s="308"/>
      <c r="BF39" s="308"/>
      <c r="BG39" s="308"/>
      <c r="BH39" s="216" t="s">
        <v>173</v>
      </c>
      <c r="BI39" s="243"/>
      <c r="BJ39" s="205"/>
      <c r="BK39" s="346" t="s">
        <v>139</v>
      </c>
      <c r="BL39" s="346"/>
      <c r="BM39" s="346"/>
      <c r="BN39" s="346"/>
      <c r="BO39" s="212" t="str">
        <f>IF(BO33=1,    "no",     IF(BO35=1,      "no",       IF(BT61=0,          "no",          "yes")))</f>
        <v>yes</v>
      </c>
      <c r="BP39" s="169"/>
      <c r="BQ39" s="343"/>
      <c r="BR39" s="343"/>
      <c r="BS39" s="344"/>
      <c r="BT39" s="344"/>
      <c r="BU39" s="309"/>
      <c r="BV39" s="309"/>
      <c r="BW39" s="309"/>
      <c r="BX39" s="341"/>
      <c r="BY39" s="344"/>
      <c r="BZ39" s="344"/>
      <c r="CA39" s="308"/>
      <c r="CB39" s="214"/>
      <c r="CC39" s="214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12"/>
      <c r="CO39" s="12"/>
    </row>
    <row r="40" spans="2:93" s="22" customFormat="1" ht="3.75" customHeight="1" x14ac:dyDescent="0.25">
      <c r="B40" s="81"/>
      <c r="C40" s="79"/>
      <c r="D40" s="79"/>
      <c r="E40" s="79"/>
      <c r="F40" s="79"/>
      <c r="G40" s="63"/>
      <c r="H40" s="69"/>
      <c r="I40" s="69"/>
      <c r="J40" s="63"/>
      <c r="K40" s="66"/>
      <c r="L40" s="60"/>
      <c r="N40" s="82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63"/>
      <c r="AB40" s="83"/>
      <c r="AC40" s="38"/>
      <c r="AD40" s="340"/>
      <c r="AE40" s="321"/>
      <c r="AF40" s="321"/>
      <c r="AG40" s="321"/>
      <c r="AH40" s="321"/>
      <c r="AI40" s="321"/>
      <c r="AJ40" s="321"/>
      <c r="AK40" s="321"/>
      <c r="AL40" s="321"/>
      <c r="AM40" s="321"/>
      <c r="AN40" s="321"/>
      <c r="AO40" s="321"/>
      <c r="AP40" s="321"/>
      <c r="AQ40" s="321"/>
      <c r="AR40" s="321"/>
      <c r="AS40" s="339"/>
      <c r="AT40" s="38"/>
      <c r="AU40" s="169"/>
      <c r="AV40" s="205"/>
      <c r="AW40" s="308"/>
      <c r="AX40" s="308"/>
      <c r="AY40" s="308"/>
      <c r="AZ40" s="308"/>
      <c r="BA40" s="308"/>
      <c r="BB40" s="308"/>
      <c r="BC40" s="308"/>
      <c r="BD40" s="308"/>
      <c r="BE40" s="308"/>
      <c r="BF40" s="308"/>
      <c r="BG40" s="308"/>
      <c r="BH40" s="163"/>
      <c r="BI40" s="240"/>
      <c r="BJ40" s="205"/>
      <c r="BK40" s="257"/>
      <c r="BL40" s="257"/>
      <c r="BM40" s="258"/>
      <c r="BN40" s="256"/>
      <c r="BO40" s="205"/>
      <c r="BP40" s="169"/>
      <c r="BQ40" s="309">
        <f>IF(H15="Imperial",   IF(BR28=1,  IF(BV34=1,   AZ13,   IF(BV34=2,   BG13,  (2*(BB67+((((H55-(H45/2))*AZ61*AZ65)/1728)*(H33/100))))+(BT34*(BG67+((((H55-(H45/2))*BE61*BE65)/1728)*(H33/100)))))),                                                                              IF(BV34=1,                   BB67+(((AZ61*H55*AZ63)/1728)*(H33/100)),                      IF(BV34=2,                2*BB67,                 (2*BB67)+(BT34*BG67)))),                                                                                                                  IF(BR28=1,   IF(BV34=1,     AZ13,     IF(BV34=2,    BG13,     (2*(BB67+((((H55-(H45/2))*AZ61*AZ65)/1000000000)*(H33/100))))+(BT34*(BG67+((((H55-(H45/2))*BE61*BE65)/1000000000)*(H33/100)))))),                                                                              IF(BV34=1,                BB67+(((AZ61*H55*AZ63)/1000000000)*(H33/100)),              IF(BV34=2,       2*BB67,              (2*BB67)+(BT34*BG67)))))</f>
        <v>3451.490416666667</v>
      </c>
      <c r="BR40" s="309">
        <f>IF(BT28=0,          0,                IF(BV34=1,                   BH15,                      IF(BV34=2,                           2*BC67,                         (2*BC67)+(BT34*BH67))))</f>
        <v>3237.8619444444448</v>
      </c>
      <c r="BS40" s="309">
        <f>IF(BR28=1,     1,        IF(BR28=2,        ROUNDDOWN((BQ28/BQ40),0),                           (ROUNDDOWN((BQ28-(2*BQ40))/BR40,0))+2))</f>
        <v>2</v>
      </c>
      <c r="BT40" s="309">
        <f>IF(BR28&lt;3,            0,                ROUNDDOWN((BQ28-(2*BQ40))/BR40,0))</f>
        <v>0</v>
      </c>
      <c r="BU40" s="309"/>
      <c r="BV40" s="309"/>
      <c r="BW40" s="309"/>
      <c r="BX40" s="341"/>
      <c r="BY40" s="305">
        <f>IF(H37=OR(1,3),                    H41,          IF(BS2=1,                 BX12,        BU20))</f>
        <v>8</v>
      </c>
      <c r="BZ40" s="305"/>
      <c r="CA40" s="309">
        <f>BV34</f>
        <v>29</v>
      </c>
      <c r="CB40" s="214"/>
      <c r="CC40" s="206"/>
      <c r="CD40" s="9"/>
      <c r="CE40" s="9"/>
      <c r="CF40" s="9"/>
      <c r="CG40" s="9"/>
      <c r="CH40" s="9"/>
      <c r="CI40" s="9"/>
      <c r="CJ40" s="9"/>
      <c r="CK40" s="8"/>
      <c r="CL40" s="8"/>
      <c r="CM40" s="8"/>
      <c r="CN40" s="12"/>
      <c r="CO40" s="12"/>
    </row>
    <row r="41" spans="2:93" s="22" customFormat="1" ht="15" customHeight="1" x14ac:dyDescent="0.3">
      <c r="B41" s="81"/>
      <c r="C41" s="398" t="str">
        <f>IF(H37=1,"Number of Rows Desired","Number of Rows Desired in Bottom Layer")</f>
        <v>Number of Rows Desired</v>
      </c>
      <c r="D41" s="398"/>
      <c r="E41" s="398"/>
      <c r="F41" s="398"/>
      <c r="G41" s="63"/>
      <c r="H41" s="382">
        <v>3</v>
      </c>
      <c r="I41" s="383"/>
      <c r="J41" s="63"/>
      <c r="K41" s="66"/>
      <c r="L41" s="60"/>
      <c r="N41" s="82"/>
      <c r="O41" s="317" t="str">
        <f>IF(H37=1,           "NO LAYER",              IF(H37=2,              "1st LAYER (bottom)",        IF(H37=3,        "2nd LAYER (middle)",       "3rd LAYER")))</f>
        <v>NO LAYER</v>
      </c>
      <c r="P41" s="317"/>
      <c r="Q41" s="317"/>
      <c r="R41" s="329" t="str">
        <f>IF(U31=0,        "",             IF(H37&gt;1,            IF(U31=0,        "",          IF(AND(U43=0,     U55=0),            "This system has too few chambers. We suggest using only 1 layer",                                                                    IF(AND(U55&gt;0,U43=0),               "This layer has no chambers to make room for the SedimenTrap",        ""))),           ""))</f>
        <v/>
      </c>
      <c r="S41" s="329"/>
      <c r="T41" s="329"/>
      <c r="U41" s="329"/>
      <c r="V41" s="329"/>
      <c r="W41" s="329"/>
      <c r="X41" s="329"/>
      <c r="Y41" s="329"/>
      <c r="Z41" s="329"/>
      <c r="AA41" s="329"/>
      <c r="AB41" s="330"/>
      <c r="AC41" s="38"/>
      <c r="AD41" s="340"/>
      <c r="AE41" s="321"/>
      <c r="AF41" s="321"/>
      <c r="AG41" s="321"/>
      <c r="AH41" s="321"/>
      <c r="AI41" s="321"/>
      <c r="AJ41" s="321"/>
      <c r="AK41" s="321"/>
      <c r="AL41" s="321"/>
      <c r="AM41" s="321"/>
      <c r="AN41" s="321"/>
      <c r="AO41" s="321"/>
      <c r="AP41" s="321"/>
      <c r="AQ41" s="321"/>
      <c r="AR41" s="321"/>
      <c r="AS41" s="339"/>
      <c r="AT41" s="38"/>
      <c r="AU41" s="169"/>
      <c r="AV41" s="205"/>
      <c r="AW41" s="308"/>
      <c r="AX41" s="308"/>
      <c r="AY41" s="308"/>
      <c r="AZ41" s="308"/>
      <c r="BA41" s="308"/>
      <c r="BB41" s="308"/>
      <c r="BC41" s="308"/>
      <c r="BD41" s="308"/>
      <c r="BE41" s="308"/>
      <c r="BF41" s="308"/>
      <c r="BG41" s="308"/>
      <c r="BH41" s="216">
        <f>BH33+BH37+AZ7</f>
        <v>49.440000000000005</v>
      </c>
      <c r="BI41" s="240"/>
      <c r="BJ41" s="205"/>
      <c r="BK41" s="346" t="s">
        <v>158</v>
      </c>
      <c r="BL41" s="346"/>
      <c r="BM41" s="346"/>
      <c r="BN41" s="346"/>
      <c r="BO41" s="259">
        <f>BO13+BO17+BO21+BO25</f>
        <v>10030.303055555556</v>
      </c>
      <c r="BP41" s="260"/>
      <c r="BQ41" s="309"/>
      <c r="BR41" s="309"/>
      <c r="BS41" s="309"/>
      <c r="BT41" s="309"/>
      <c r="BU41" s="309"/>
      <c r="BV41" s="309"/>
      <c r="BW41" s="309"/>
      <c r="BX41" s="341"/>
      <c r="BY41" s="305"/>
      <c r="BZ41" s="305"/>
      <c r="CA41" s="309"/>
      <c r="CB41" s="214"/>
      <c r="CC41" s="206"/>
      <c r="CD41" s="9"/>
      <c r="CE41" s="9"/>
      <c r="CF41" s="9"/>
      <c r="CG41" s="9"/>
      <c r="CH41" s="9"/>
      <c r="CI41" s="9"/>
      <c r="CJ41" s="8"/>
      <c r="CK41" s="8"/>
      <c r="CL41" s="8"/>
      <c r="CM41" s="12"/>
      <c r="CN41" s="12"/>
    </row>
    <row r="42" spans="2:93" s="22" customFormat="1" ht="5.25" customHeight="1" x14ac:dyDescent="0.25">
      <c r="B42" s="84"/>
      <c r="C42" s="46"/>
      <c r="D42" s="46"/>
      <c r="E42" s="46"/>
      <c r="F42" s="46"/>
      <c r="G42" s="47"/>
      <c r="H42" s="85"/>
      <c r="I42" s="85"/>
      <c r="J42" s="47"/>
      <c r="K42" s="85"/>
      <c r="L42" s="60"/>
      <c r="N42" s="70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6"/>
      <c r="AC42" s="38"/>
      <c r="AD42" s="340"/>
      <c r="AE42" s="321"/>
      <c r="AF42" s="321"/>
      <c r="AG42" s="321"/>
      <c r="AH42" s="321"/>
      <c r="AI42" s="321"/>
      <c r="AJ42" s="321"/>
      <c r="AK42" s="321"/>
      <c r="AL42" s="321"/>
      <c r="AM42" s="321"/>
      <c r="AN42" s="321"/>
      <c r="AO42" s="321"/>
      <c r="AP42" s="321"/>
      <c r="AQ42" s="321"/>
      <c r="AR42" s="321"/>
      <c r="AS42" s="339"/>
      <c r="AT42" s="38"/>
      <c r="AU42" s="169"/>
      <c r="AV42" s="205"/>
      <c r="AW42" s="221"/>
      <c r="AX42" s="221"/>
      <c r="AY42" s="221"/>
      <c r="AZ42" s="221"/>
      <c r="BA42" s="221"/>
      <c r="BB42" s="221"/>
      <c r="BC42" s="221"/>
      <c r="BD42" s="221"/>
      <c r="BE42" s="221"/>
      <c r="BF42" s="221"/>
      <c r="BG42" s="221"/>
      <c r="BH42" s="216"/>
      <c r="BI42" s="240"/>
      <c r="BJ42" s="205"/>
      <c r="BK42" s="261"/>
      <c r="BL42" s="258"/>
      <c r="BM42" s="258"/>
      <c r="BN42" s="258"/>
      <c r="BO42" s="249"/>
      <c r="BP42" s="260"/>
      <c r="BQ42" s="344" t="s">
        <v>129</v>
      </c>
      <c r="BR42" s="344" t="s">
        <v>116</v>
      </c>
      <c r="BS42" s="344" t="s">
        <v>117</v>
      </c>
      <c r="BT42" s="344" t="s">
        <v>118</v>
      </c>
      <c r="BU42" s="344"/>
      <c r="BV42" s="305"/>
      <c r="BW42" s="366"/>
      <c r="BX42" s="341"/>
      <c r="BY42" s="343" t="s">
        <v>42</v>
      </c>
      <c r="BZ42" s="343"/>
      <c r="CA42" s="344" t="str">
        <f>IF(BQ46=0,         "N/A",      "Number of chambers in short row")</f>
        <v>Number of chambers in short row</v>
      </c>
      <c r="CB42" s="214"/>
      <c r="CC42" s="214"/>
      <c r="CD42" s="7"/>
      <c r="CE42" s="7"/>
      <c r="CF42" s="7"/>
      <c r="CG42" s="7"/>
      <c r="CH42" s="7"/>
      <c r="CI42" s="7"/>
      <c r="CJ42" s="8"/>
      <c r="CK42" s="8"/>
      <c r="CL42" s="8"/>
      <c r="CM42" s="12"/>
      <c r="CN42" s="12"/>
    </row>
    <row r="43" spans="2:93" s="22" customFormat="1" ht="15" customHeight="1" x14ac:dyDescent="0.25">
      <c r="B43" s="399" t="str">
        <f>IF($H$23="Width","Maximum Number of Rows Based on Constraint Dimension","Minimum Number of Rows Based on Constraint Dimension")</f>
        <v>Maximum Number of Rows Based on Constraint Dimension</v>
      </c>
      <c r="C43" s="400"/>
      <c r="D43" s="400"/>
      <c r="E43" s="400"/>
      <c r="F43" s="400"/>
      <c r="G43" s="69"/>
      <c r="H43" s="412">
        <f>BX2</f>
        <v>8</v>
      </c>
      <c r="I43" s="412"/>
      <c r="J43" s="47"/>
      <c r="K43" s="85"/>
      <c r="L43" s="60"/>
      <c r="N43" s="70"/>
      <c r="O43" s="127" t="s">
        <v>89</v>
      </c>
      <c r="P43" s="182">
        <f>IF(H37=1,           0,       BO97)</f>
        <v>0</v>
      </c>
      <c r="Q43" s="128" t="str">
        <f>IF(H$15="Imperial",    "ft",       "m")</f>
        <v>ft</v>
      </c>
      <c r="R43" s="318" t="s">
        <v>15</v>
      </c>
      <c r="S43" s="318"/>
      <c r="T43" s="121"/>
      <c r="U43" s="121">
        <f>IF(H37=1,              0,           IF(BO95="no",             BT114,          IF(BT117=0,        BT115,       BT116)))</f>
        <v>0</v>
      </c>
      <c r="V43" s="121" t="s">
        <v>16</v>
      </c>
      <c r="W43" s="121"/>
      <c r="X43" s="121">
        <f>IF(U43=0,        0,          IF(BO95="no",         IF(BO92=1,  BT117, BT118),       IF(BT117=0,         BT118,         BT117)))</f>
        <v>0</v>
      </c>
      <c r="Y43" s="121" t="s">
        <v>17</v>
      </c>
      <c r="Z43" s="121"/>
      <c r="AA43" s="129"/>
      <c r="AB43" s="126"/>
      <c r="AC43" s="38"/>
      <c r="AD43" s="340"/>
      <c r="AE43" s="321"/>
      <c r="AF43" s="321"/>
      <c r="AG43" s="321"/>
      <c r="AH43" s="321"/>
      <c r="AI43" s="321"/>
      <c r="AJ43" s="321"/>
      <c r="AK43" s="321"/>
      <c r="AL43" s="321"/>
      <c r="AM43" s="321"/>
      <c r="AN43" s="321"/>
      <c r="AO43" s="321"/>
      <c r="AP43" s="321"/>
      <c r="AQ43" s="321"/>
      <c r="AR43" s="321"/>
      <c r="AS43" s="339"/>
      <c r="AT43" s="38"/>
      <c r="AU43" s="169"/>
      <c r="AV43" s="205"/>
      <c r="AW43" s="302" t="s">
        <v>212</v>
      </c>
      <c r="AX43" s="353" t="s">
        <v>172</v>
      </c>
      <c r="AY43" s="353"/>
      <c r="AZ43" s="353"/>
      <c r="BA43" s="303" t="s">
        <v>174</v>
      </c>
      <c r="BB43" s="303"/>
      <c r="BC43" s="303"/>
      <c r="BD43" s="303"/>
      <c r="BE43" s="354" t="s">
        <v>175</v>
      </c>
      <c r="BF43" s="354"/>
      <c r="BG43" s="354"/>
      <c r="BH43" s="216" t="s">
        <v>191</v>
      </c>
      <c r="BI43" s="240"/>
      <c r="BJ43" s="205"/>
      <c r="BK43" s="361" t="s">
        <v>43</v>
      </c>
      <c r="BL43" s="361"/>
      <c r="BM43" s="361"/>
      <c r="BN43" s="361"/>
      <c r="BO43" s="246">
        <f>IF(H15="Imperial",      IF(BO35=1,            (AZ5+H55+H55)/12,                   IF(BO35=2,                   (2*AZ65)/12,                          (((BO35-2)*BE65)+(2*AZ65))/12)),                                                                                                                                                                                                            IF(BO35=1,                                                (AZ5+H55+H55)/1000,                  IF(BO35=2,                   (2*AZ65)/1000,                     (((BO35-2)*BE65)+(2*AZ65))/1000)))</f>
        <v>222.91666666666666</v>
      </c>
      <c r="BP43" s="260"/>
      <c r="BQ43" s="344"/>
      <c r="BR43" s="344"/>
      <c r="BS43" s="344"/>
      <c r="BT43" s="344"/>
      <c r="BU43" s="344"/>
      <c r="BV43" s="366"/>
      <c r="BW43" s="366"/>
      <c r="BX43" s="341"/>
      <c r="BY43" s="343"/>
      <c r="BZ43" s="343"/>
      <c r="CA43" s="344"/>
      <c r="CB43" s="214"/>
      <c r="CC43" s="214"/>
      <c r="CD43" s="7"/>
      <c r="CE43" s="7"/>
      <c r="CF43" s="7"/>
      <c r="CG43" s="7"/>
      <c r="CH43" s="7"/>
      <c r="CI43" s="7"/>
      <c r="CJ43" s="8"/>
      <c r="CK43" s="8"/>
      <c r="CL43" s="8"/>
      <c r="CM43" s="12"/>
      <c r="CN43" s="12"/>
    </row>
    <row r="44" spans="2:93" s="22" customFormat="1" ht="4.5" customHeight="1" x14ac:dyDescent="0.25">
      <c r="B44" s="81"/>
      <c r="C44" s="198"/>
      <c r="D44" s="198"/>
      <c r="E44" s="198"/>
      <c r="F44" s="198"/>
      <c r="G44" s="63"/>
      <c r="H44" s="66"/>
      <c r="I44" s="66"/>
      <c r="J44" s="63"/>
      <c r="K44" s="65"/>
      <c r="L44" s="60"/>
      <c r="N44" s="70"/>
      <c r="O44" s="122"/>
      <c r="P44" s="122"/>
      <c r="Q44" s="128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6"/>
      <c r="AC44" s="38"/>
      <c r="AD44" s="340"/>
      <c r="AE44" s="321"/>
      <c r="AF44" s="321"/>
      <c r="AG44" s="321"/>
      <c r="AH44" s="321"/>
      <c r="AI44" s="321"/>
      <c r="AJ44" s="321"/>
      <c r="AK44" s="321"/>
      <c r="AL44" s="321"/>
      <c r="AM44" s="321"/>
      <c r="AN44" s="321"/>
      <c r="AO44" s="321"/>
      <c r="AP44" s="321"/>
      <c r="AQ44" s="321"/>
      <c r="AR44" s="321"/>
      <c r="AS44" s="339"/>
      <c r="AT44" s="38"/>
      <c r="AU44" s="169"/>
      <c r="AV44" s="205"/>
      <c r="AW44" s="302"/>
      <c r="AX44" s="353"/>
      <c r="AY44" s="353"/>
      <c r="AZ44" s="353"/>
      <c r="BA44" s="243"/>
      <c r="BB44" s="243"/>
      <c r="BC44" s="243"/>
      <c r="BD44" s="243"/>
      <c r="BE44" s="244"/>
      <c r="BF44" s="244"/>
      <c r="BG44" s="244"/>
      <c r="BH44" s="163"/>
      <c r="BI44" s="240"/>
      <c r="BJ44" s="205"/>
      <c r="BK44" s="261"/>
      <c r="BL44" s="258"/>
      <c r="BM44" s="258"/>
      <c r="BN44" s="258"/>
      <c r="BO44" s="249"/>
      <c r="BP44" s="206"/>
      <c r="BQ44" s="344"/>
      <c r="BR44" s="344"/>
      <c r="BS44" s="344"/>
      <c r="BT44" s="344"/>
      <c r="BU44" s="344"/>
      <c r="BV44" s="366"/>
      <c r="BW44" s="366"/>
      <c r="BX44" s="341"/>
      <c r="BY44" s="343"/>
      <c r="BZ44" s="343"/>
      <c r="CA44" s="344"/>
      <c r="CB44" s="214"/>
      <c r="CC44" s="206"/>
      <c r="CD44" s="9"/>
      <c r="CE44" s="9"/>
      <c r="CF44" s="9"/>
      <c r="CG44" s="9"/>
      <c r="CH44" s="9"/>
      <c r="CI44" s="9"/>
      <c r="CJ44" s="8"/>
      <c r="CK44" s="8"/>
      <c r="CL44" s="8"/>
      <c r="CM44" s="12"/>
      <c r="CN44" s="12"/>
    </row>
    <row r="45" spans="2:93" s="22" customFormat="1" ht="15.75" customHeight="1" x14ac:dyDescent="0.25">
      <c r="B45" s="81"/>
      <c r="C45" s="398" t="str">
        <f>IF(H19="SC-18",     IF(H15="Imperial",     "Space Between Each Row (min. 6 inches)",         "Space Between Each Row (min. 150 mm)"),            IF(H15="Imperial",               "Space Between Each Row (min. 9 inches)",        "Space Between Each Row (min. 225mm)"))</f>
        <v>Space Between Each Row (min. 9 inches)</v>
      </c>
      <c r="D45" s="398"/>
      <c r="E45" s="398"/>
      <c r="F45" s="398"/>
      <c r="G45" s="44"/>
      <c r="H45" s="382">
        <v>9</v>
      </c>
      <c r="I45" s="383"/>
      <c r="J45" s="44"/>
      <c r="K45" s="66" t="str">
        <f>IF($H$15="Imperial","in","mm")</f>
        <v>in</v>
      </c>
      <c r="L45" s="60"/>
      <c r="N45" s="70"/>
      <c r="O45" s="130" t="s">
        <v>87</v>
      </c>
      <c r="P45" s="131">
        <f>IF(H37=1,          0,     BO98)</f>
        <v>0</v>
      </c>
      <c r="Q45" s="125" t="str">
        <f>IF(H$15="Imperial",    "ft",       "m")</f>
        <v>ft</v>
      </c>
      <c r="R45" s="335" t="s">
        <v>15</v>
      </c>
      <c r="S45" s="335"/>
      <c r="T45" s="124"/>
      <c r="U45" s="124">
        <f>IF(H37=1,        0,          IF(BO95="no",       0,      IF(BT117=0,         0,        BT115)))</f>
        <v>0</v>
      </c>
      <c r="V45" s="124" t="s">
        <v>16</v>
      </c>
      <c r="W45" s="124"/>
      <c r="X45" s="124">
        <f>IF(U45=0,      0,     BT118)</f>
        <v>0</v>
      </c>
      <c r="Y45" s="124" t="s">
        <v>17</v>
      </c>
      <c r="Z45" s="124"/>
      <c r="AA45" s="122"/>
      <c r="AB45" s="126"/>
      <c r="AC45" s="38"/>
      <c r="AD45" s="340"/>
      <c r="AE45" s="321"/>
      <c r="AF45" s="321"/>
      <c r="AG45" s="321"/>
      <c r="AH45" s="321"/>
      <c r="AI45" s="321"/>
      <c r="AJ45" s="321"/>
      <c r="AK45" s="321"/>
      <c r="AL45" s="321"/>
      <c r="AM45" s="321"/>
      <c r="AN45" s="321"/>
      <c r="AO45" s="321"/>
      <c r="AP45" s="321"/>
      <c r="AQ45" s="321"/>
      <c r="AR45" s="321"/>
      <c r="AS45" s="339"/>
      <c r="AT45" s="38"/>
      <c r="AU45" s="169"/>
      <c r="AV45" s="205"/>
      <c r="AW45" s="302"/>
      <c r="AX45" s="352" t="s">
        <v>170</v>
      </c>
      <c r="AY45" s="352"/>
      <c r="AZ45" s="231">
        <f>IF(H15="Imperial",             (((((AZ5+H55)*(AY101+H55+(H45/2))*AZ99)/1728)-AZ7)*(H33/100)),                    (((((AZ5+H55)*(AY101+H55+(H45/2))*AZ99)/1000000000)-AZ99)*(H33/100)))</f>
        <v>-32.96</v>
      </c>
      <c r="BA45" s="352" t="s">
        <v>170</v>
      </c>
      <c r="BB45" s="352"/>
      <c r="BC45" s="352"/>
      <c r="BD45" s="231">
        <f>2*AZ45</f>
        <v>-65.92</v>
      </c>
      <c r="BE45" s="232" t="s">
        <v>170</v>
      </c>
      <c r="BF45" s="233"/>
      <c r="BG45" s="231">
        <f>2*BB103</f>
        <v>93.11999999999999</v>
      </c>
      <c r="BH45" s="216" t="s">
        <v>189</v>
      </c>
      <c r="BI45" s="243"/>
      <c r="BJ45" s="205"/>
      <c r="BK45" s="361" t="s">
        <v>44</v>
      </c>
      <c r="BL45" s="361"/>
      <c r="BM45" s="361"/>
      <c r="BN45" s="361"/>
      <c r="BO45" s="242">
        <f>IF(H15="Imperial",                IF(BO33=1,                    (AZ63+H55-(H45/2))/12,                            IF(BO33=2,             (2*AZ63)/12,                     (((BO33-2)*BA63)+(2*AZ63))/12)),                                                                             IF(BO33=1,                                                                  (AZ63+H55-(H45/2))/1000,                            IF(BO33=2,             (2*AZ63)/1000,                (((BO33-2)*BA63)+(2*AZ63))/1000)))</f>
        <v>18.5</v>
      </c>
      <c r="BP45" s="206"/>
      <c r="BQ45" s="344"/>
      <c r="BR45" s="344"/>
      <c r="BS45" s="344"/>
      <c r="BT45" s="344"/>
      <c r="BU45" s="344"/>
      <c r="BV45" s="366"/>
      <c r="BW45" s="366"/>
      <c r="BX45" s="341"/>
      <c r="BY45" s="343"/>
      <c r="BZ45" s="343"/>
      <c r="CA45" s="344"/>
      <c r="CB45" s="214"/>
      <c r="CC45" s="206"/>
      <c r="CG45" s="9"/>
      <c r="CH45" s="9"/>
      <c r="CI45" s="9"/>
      <c r="CJ45" s="8"/>
      <c r="CK45" s="8"/>
      <c r="CL45" s="8"/>
      <c r="CM45" s="12"/>
      <c r="CN45" s="12"/>
    </row>
    <row r="46" spans="2:93" s="22" customFormat="1" ht="3.75" customHeight="1" x14ac:dyDescent="0.25">
      <c r="B46" s="81"/>
      <c r="C46" s="197"/>
      <c r="D46" s="197"/>
      <c r="E46" s="197"/>
      <c r="F46" s="197"/>
      <c r="G46" s="63"/>
      <c r="H46" s="69"/>
      <c r="I46" s="69"/>
      <c r="J46" s="63"/>
      <c r="K46" s="69"/>
      <c r="L46" s="60"/>
      <c r="N46" s="70"/>
      <c r="O46" s="122"/>
      <c r="P46" s="122"/>
      <c r="Q46" s="128"/>
      <c r="R46" s="128"/>
      <c r="S46" s="180"/>
      <c r="T46" s="121"/>
      <c r="U46" s="121"/>
      <c r="V46" s="121"/>
      <c r="W46" s="121"/>
      <c r="X46" s="121"/>
      <c r="Y46" s="121"/>
      <c r="Z46" s="121"/>
      <c r="AA46" s="121"/>
      <c r="AB46" s="126"/>
      <c r="AC46" s="38"/>
      <c r="AD46" s="340"/>
      <c r="AE46" s="321"/>
      <c r="AF46" s="321"/>
      <c r="AG46" s="321"/>
      <c r="AH46" s="321"/>
      <c r="AI46" s="321"/>
      <c r="AJ46" s="321"/>
      <c r="AK46" s="321"/>
      <c r="AL46" s="321"/>
      <c r="AM46" s="321"/>
      <c r="AN46" s="321"/>
      <c r="AO46" s="321"/>
      <c r="AP46" s="321"/>
      <c r="AQ46" s="321"/>
      <c r="AR46" s="321"/>
      <c r="AS46" s="339"/>
      <c r="AT46" s="11"/>
      <c r="AU46" s="169"/>
      <c r="AV46" s="205"/>
      <c r="AW46" s="302"/>
      <c r="AX46" s="236"/>
      <c r="AY46" s="233"/>
      <c r="AZ46" s="231"/>
      <c r="BA46" s="222"/>
      <c r="BB46" s="168"/>
      <c r="BC46" s="237"/>
      <c r="BD46" s="231"/>
      <c r="BE46" s="236"/>
      <c r="BF46" s="233"/>
      <c r="BG46" s="231"/>
      <c r="BH46" s="216"/>
      <c r="BI46" s="243"/>
      <c r="BJ46" s="205"/>
      <c r="BK46" s="262"/>
      <c r="BL46" s="262"/>
      <c r="BM46" s="262"/>
      <c r="BN46" s="262"/>
      <c r="BO46" s="249"/>
      <c r="BP46" s="206"/>
      <c r="BQ46" s="341">
        <f>IF(BR28=1,        0,          IF(BR28=2,                    BQ28-BQ40,                BQ28-(2*BQ40)-(BT40*BR40)))</f>
        <v>3097.019166666666</v>
      </c>
      <c r="BR46" s="341">
        <f>IF(BR28=1,   0,  IF(H15="Imperial",   IF(BR28=2,    IF(BQ46&lt;=(BB67+(((H55*AZ61*AZ63)/1728)*(H33/100))),    1,   2),     IF(BQ46&lt;=(BC67+(((H55*BA61*BA63)/1728)*(H33/100))),    1,    2)),                       IF(BR28=2,             IF(BQ46&lt;=(BB67+((((H55)*AZ61*AZ63)/1000000000)*(H33/100))),      1,       2),                   IF(BQ46&lt;=(BC67+(((H55*BA61*BA63)/1000000000)*(H33/100))),      1,      2))))</f>
        <v>2</v>
      </c>
      <c r="BS46" s="341">
        <f>IF(BR28=1,       0,         IF(BR28=2,           IF(BQ46&lt;=(2*BB67),        0,           ROUNDUP((BQ46-(2*BB67))/BG67,0)),           IF(BQ46&lt;=(2*BC67),        0,          ROUNDUP((BQ46-(2*BC67))/BH67,0))))</f>
        <v>26</v>
      </c>
      <c r="BT46" s="341">
        <f>BR46+BS46</f>
        <v>28</v>
      </c>
      <c r="BU46" s="341"/>
      <c r="BV46" s="366"/>
      <c r="BW46" s="366"/>
      <c r="BX46" s="341"/>
      <c r="BY46" s="341">
        <f>IF(BO33=1,          BV34,       IF(BV34=BT46,        BR28,                 BS40))</f>
        <v>2</v>
      </c>
      <c r="BZ46" s="341"/>
      <c r="CA46" s="341">
        <f>IF(BY40=1,      0,            IF(BW54=0,       0,            CA40-1))</f>
        <v>28</v>
      </c>
      <c r="CB46" s="214"/>
      <c r="CC46" s="214"/>
      <c r="CG46" s="7"/>
      <c r="CH46" s="7"/>
      <c r="CI46" s="7"/>
      <c r="CJ46" s="7"/>
      <c r="CK46" s="7"/>
      <c r="CL46" s="7"/>
      <c r="CM46" s="12"/>
      <c r="CN46" s="12"/>
    </row>
    <row r="47" spans="2:93" s="22" customFormat="1" ht="15.75" customHeight="1" x14ac:dyDescent="0.25">
      <c r="B47" s="81"/>
      <c r="C47" s="398" t="s">
        <v>200</v>
      </c>
      <c r="D47" s="398"/>
      <c r="E47" s="398"/>
      <c r="F47" s="398"/>
      <c r="G47" s="69"/>
      <c r="H47" s="382">
        <v>3</v>
      </c>
      <c r="I47" s="383"/>
      <c r="J47" s="44"/>
      <c r="K47" s="69"/>
      <c r="L47" s="60"/>
      <c r="N47" s="70"/>
      <c r="O47" s="132" t="s">
        <v>88</v>
      </c>
      <c r="P47" s="182">
        <f>IF(H37=1,       0,      IF(H37=2,              IF(H15="Imperial",           (AY75+H29+(H39/2))/12,          (AY75+H29+(H39/2))/1000),         IF(H15="Imperial",        (AY75+H39)/12,              (AY75+H39)/1000)))</f>
        <v>0</v>
      </c>
      <c r="Q47" s="128" t="str">
        <f>IF(H$15="Imperial",    "ft",       "m")</f>
        <v>ft</v>
      </c>
      <c r="R47" s="325" t="s">
        <v>157</v>
      </c>
      <c r="S47" s="325"/>
      <c r="T47" s="325"/>
      <c r="U47" s="325"/>
      <c r="V47" s="323">
        <f>BO96</f>
        <v>0</v>
      </c>
      <c r="W47" s="323"/>
      <c r="X47" s="323"/>
      <c r="Y47" s="121" t="str">
        <f>IF(H15="Imperial",       "Cubic Feet",     "Cubic Meters")</f>
        <v>Cubic Feet</v>
      </c>
      <c r="Z47" s="121"/>
      <c r="AA47" s="121"/>
      <c r="AB47" s="126"/>
      <c r="AC47" s="38"/>
      <c r="AD47" s="340"/>
      <c r="AE47" s="321"/>
      <c r="AF47" s="321"/>
      <c r="AG47" s="321"/>
      <c r="AH47" s="321"/>
      <c r="AI47" s="321"/>
      <c r="AJ47" s="321"/>
      <c r="AK47" s="321"/>
      <c r="AL47" s="321"/>
      <c r="AM47" s="321"/>
      <c r="AN47" s="321"/>
      <c r="AO47" s="321"/>
      <c r="AP47" s="321"/>
      <c r="AQ47" s="321"/>
      <c r="AR47" s="321"/>
      <c r="AS47" s="339"/>
      <c r="AT47" s="11"/>
      <c r="AU47" s="169"/>
      <c r="AV47" s="205"/>
      <c r="AW47" s="302"/>
      <c r="AX47" s="236" t="s">
        <v>171</v>
      </c>
      <c r="AY47" s="233"/>
      <c r="AZ47" s="231">
        <f>IF(H15="Imperial",                                     (((AZ101*H55*AZ99)/1728)*(H33/100))+((((H55-(H45/2))*(AZ5+H55+H55)*AZ99)/1728)*(H33/100)),                                                                                                                                            (((AZ101*H55*AZ99)/1000000000)*(H33/100))+((((H55-(H45/2))*(AZ5+H55+H55)*AZ99)/1000000000)*(H33/100)))</f>
        <v>0</v>
      </c>
      <c r="BA47" s="351" t="s">
        <v>171</v>
      </c>
      <c r="BB47" s="351"/>
      <c r="BC47" s="351"/>
      <c r="BD47" s="231">
        <f>IF(H15="Imperial",                2*(((AZ99*AZ101*H55)/1728)*(H33/100)),                            2*(((AZ99*AZ101*H55)/1000000000)*(H33/100)))</f>
        <v>0</v>
      </c>
      <c r="BE47" s="236" t="s">
        <v>171</v>
      </c>
      <c r="BF47" s="233"/>
      <c r="BG47" s="231">
        <f>IF(H15="Imperial",                      2*(((AZ99*(H55-(H45/2))*(AY102+H55))/1728)*(H33/100)),                      2*(((AZ99*(H55-(H45/2))*(AY102+H55))/1000000000)*(H33/100)))</f>
        <v>0</v>
      </c>
      <c r="BH47" s="216">
        <f>IF(H15="Imperial",           (((BA99*(BA101)*(AZ5+H55))/1728)-AZ7)*(H33/100),                    (((BA99*(BA101)*(AZ5+H55))/1000000000)-AZ7)*(H33/100))</f>
        <v>-32.96</v>
      </c>
      <c r="BI47" s="240"/>
      <c r="BJ47" s="205"/>
      <c r="BK47" s="262" t="s">
        <v>227</v>
      </c>
      <c r="BL47" s="263">
        <f>BM13+BM17+BM21+BM25</f>
        <v>3740.7030555555561</v>
      </c>
      <c r="BM47" s="424" t="s">
        <v>228</v>
      </c>
      <c r="BN47" s="424"/>
      <c r="BO47" s="246">
        <f>BN13+BN17+BN21+BN25</f>
        <v>6289.5999999999995</v>
      </c>
      <c r="BP47" s="169"/>
      <c r="BQ47" s="341"/>
      <c r="BR47" s="341"/>
      <c r="BS47" s="341"/>
      <c r="BT47" s="341"/>
      <c r="BU47" s="341"/>
      <c r="BV47" s="366"/>
      <c r="BW47" s="366"/>
      <c r="BX47" s="341"/>
      <c r="BY47" s="341"/>
      <c r="BZ47" s="341"/>
      <c r="CA47" s="341"/>
      <c r="CB47" s="214"/>
      <c r="CC47" s="214"/>
      <c r="CG47" s="7"/>
      <c r="CH47" s="7"/>
      <c r="CI47" s="7"/>
      <c r="CJ47" s="7"/>
      <c r="CK47" s="7"/>
      <c r="CL47" s="7"/>
      <c r="CM47" s="12"/>
      <c r="CN47" s="12"/>
    </row>
    <row r="48" spans="2:93" ht="3.75" customHeight="1" x14ac:dyDescent="0.25">
      <c r="B48" s="81"/>
      <c r="C48" s="79"/>
      <c r="D48" s="79"/>
      <c r="E48" s="79"/>
      <c r="F48" s="79"/>
      <c r="G48" s="63"/>
      <c r="H48" s="69"/>
      <c r="I48" s="69"/>
      <c r="J48" s="63"/>
      <c r="K48" s="69"/>
      <c r="L48" s="60"/>
      <c r="M48" s="22"/>
      <c r="N48" s="70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1"/>
      <c r="AB48" s="126"/>
      <c r="AC48" s="38"/>
      <c r="AD48" s="340"/>
      <c r="AE48" s="321"/>
      <c r="AF48" s="321"/>
      <c r="AG48" s="321"/>
      <c r="AH48" s="321"/>
      <c r="AI48" s="321"/>
      <c r="AJ48" s="321"/>
      <c r="AK48" s="321"/>
      <c r="AL48" s="321"/>
      <c r="AM48" s="321"/>
      <c r="AN48" s="321"/>
      <c r="AO48" s="321"/>
      <c r="AP48" s="321"/>
      <c r="AQ48" s="321"/>
      <c r="AR48" s="321"/>
      <c r="AS48" s="339"/>
      <c r="AT48" s="37"/>
      <c r="AU48" s="227"/>
      <c r="AV48" s="205"/>
      <c r="AW48" s="302"/>
      <c r="AX48" s="233"/>
      <c r="AY48" s="233"/>
      <c r="AZ48" s="231"/>
      <c r="BA48" s="233"/>
      <c r="BB48" s="163"/>
      <c r="BC48" s="233"/>
      <c r="BD48" s="231"/>
      <c r="BE48" s="233"/>
      <c r="BF48" s="233"/>
      <c r="BG48" s="231"/>
      <c r="BH48" s="216"/>
      <c r="BI48" s="240"/>
      <c r="BJ48" s="205"/>
      <c r="BK48" s="262"/>
      <c r="BL48" s="262"/>
      <c r="BM48" s="262"/>
      <c r="BN48" s="262"/>
      <c r="BO48" s="249"/>
      <c r="BP48" s="169"/>
      <c r="BQ48" s="309"/>
      <c r="BR48" s="309"/>
      <c r="BS48" s="309"/>
      <c r="BT48" s="309"/>
      <c r="BU48" s="309"/>
      <c r="BV48" s="309"/>
      <c r="BW48" s="309"/>
      <c r="BX48" s="309"/>
      <c r="BY48" s="215"/>
      <c r="BZ48" s="215"/>
      <c r="CA48" s="215"/>
      <c r="CB48" s="214"/>
      <c r="CC48" s="214"/>
      <c r="CG48" s="7"/>
      <c r="CH48" s="7"/>
      <c r="CI48" s="7"/>
      <c r="CJ48" s="7"/>
      <c r="CK48" s="7"/>
      <c r="CL48" s="7"/>
      <c r="CM48" s="12"/>
      <c r="CN48" s="12"/>
    </row>
    <row r="49" spans="2:92" ht="15" customHeight="1" x14ac:dyDescent="0.25">
      <c r="B49" s="86"/>
      <c r="C49" s="400" t="s">
        <v>214</v>
      </c>
      <c r="D49" s="400"/>
      <c r="E49" s="400"/>
      <c r="F49" s="400"/>
      <c r="G49" s="69"/>
      <c r="H49" s="412">
        <f>IF(H15="Imperial",    IF(U33=0,       IF(X31&lt;4,    1,      IF(P31&gt;125,      3,      2)),     IF(X33&lt;4,       1,       IF(P31&gt;125,      3,       2))),                                                                                                                                             IF(U33=0,   IF(X31&lt;4,    1,      IF(P31&gt;38.1,      3,      2)),     IF(X33&lt;4,       1,       IF(P31&gt;38.1,      3,       2))))</f>
        <v>3</v>
      </c>
      <c r="I49" s="412"/>
      <c r="J49" s="44"/>
      <c r="K49" s="44"/>
      <c r="L49" s="60"/>
      <c r="M49" s="22"/>
      <c r="N49" s="70"/>
      <c r="O49" s="122"/>
      <c r="P49" s="122"/>
      <c r="Q49" s="122"/>
      <c r="R49" s="325" t="s">
        <v>204</v>
      </c>
      <c r="S49" s="325"/>
      <c r="T49" s="325"/>
      <c r="U49" s="325"/>
      <c r="V49" s="328">
        <f>(U43*X43)+(U45*X45)</f>
        <v>0</v>
      </c>
      <c r="W49" s="328"/>
      <c r="X49" s="328"/>
      <c r="Y49" s="122"/>
      <c r="Z49" s="122"/>
      <c r="AA49" s="124"/>
      <c r="AB49" s="126"/>
      <c r="AC49" s="38"/>
      <c r="AD49" s="340"/>
      <c r="AE49" s="321"/>
      <c r="AF49" s="321"/>
      <c r="AG49" s="321"/>
      <c r="AH49" s="321"/>
      <c r="AI49" s="321"/>
      <c r="AJ49" s="321"/>
      <c r="AK49" s="321"/>
      <c r="AL49" s="321"/>
      <c r="AM49" s="321"/>
      <c r="AN49" s="321"/>
      <c r="AO49" s="321"/>
      <c r="AP49" s="321"/>
      <c r="AQ49" s="321"/>
      <c r="AR49" s="321"/>
      <c r="AS49" s="339"/>
      <c r="AT49" s="15"/>
      <c r="AU49" s="163"/>
      <c r="AV49" s="205"/>
      <c r="AW49" s="302"/>
      <c r="AX49" s="347" t="s">
        <v>173</v>
      </c>
      <c r="AY49" s="347"/>
      <c r="AZ49" s="241">
        <f>AZ7+AZ47+AZ19</f>
        <v>49.440000000000005</v>
      </c>
      <c r="BA49" s="347" t="s">
        <v>173</v>
      </c>
      <c r="BB49" s="347"/>
      <c r="BC49" s="347"/>
      <c r="BD49" s="241">
        <f>BD45+BD47+BD7</f>
        <v>98.88000000000001</v>
      </c>
      <c r="BE49" s="347" t="s">
        <v>173</v>
      </c>
      <c r="BF49" s="347"/>
      <c r="BG49" s="241">
        <f>BG45+BG47</f>
        <v>93.11999999999999</v>
      </c>
      <c r="BH49" s="216" t="s">
        <v>190</v>
      </c>
      <c r="BI49" s="240"/>
      <c r="BJ49" s="205"/>
      <c r="BK49" s="263">
        <f>(BL17+BL25)*0.27</f>
        <v>21.6</v>
      </c>
      <c r="BL49" s="263"/>
      <c r="BM49" s="263"/>
      <c r="BN49" s="263"/>
      <c r="BO49" s="248"/>
      <c r="BP49" s="169"/>
      <c r="BQ49" s="309"/>
      <c r="BR49" s="309"/>
      <c r="BS49" s="309"/>
      <c r="BT49" s="309"/>
      <c r="BU49" s="309"/>
      <c r="BV49" s="309"/>
      <c r="BW49" s="309"/>
      <c r="BX49" s="309"/>
      <c r="BY49" s="215"/>
      <c r="BZ49" s="215"/>
      <c r="CA49" s="215"/>
      <c r="CB49" s="214"/>
      <c r="CC49" s="206"/>
      <c r="CG49" s="9"/>
      <c r="CH49" s="9"/>
      <c r="CI49" s="9"/>
      <c r="CJ49" s="9"/>
      <c r="CK49" s="9"/>
      <c r="CL49" s="9"/>
      <c r="CM49" s="12"/>
      <c r="CN49" s="12"/>
    </row>
    <row r="50" spans="2:92" ht="4.5" customHeight="1" x14ac:dyDescent="0.25">
      <c r="B50" s="86"/>
      <c r="C50" s="79"/>
      <c r="D50" s="79"/>
      <c r="E50" s="79"/>
      <c r="F50" s="79"/>
      <c r="G50" s="44"/>
      <c r="H50" s="69"/>
      <c r="I50" s="69"/>
      <c r="J50" s="44"/>
      <c r="K50" s="44"/>
      <c r="L50" s="60"/>
      <c r="M50" s="22"/>
      <c r="N50" s="82"/>
      <c r="O50" s="127"/>
      <c r="P50" s="184"/>
      <c r="Q50" s="133"/>
      <c r="R50" s="128"/>
      <c r="S50" s="180"/>
      <c r="T50" s="128"/>
      <c r="U50" s="128"/>
      <c r="V50" s="184"/>
      <c r="W50" s="184"/>
      <c r="X50" s="184"/>
      <c r="Y50" s="121"/>
      <c r="Z50" s="121"/>
      <c r="AA50" s="121"/>
      <c r="AB50" s="134"/>
      <c r="AC50" s="11"/>
      <c r="AD50" s="340"/>
      <c r="AE50" s="321"/>
      <c r="AF50" s="321"/>
      <c r="AG50" s="321"/>
      <c r="AH50" s="321"/>
      <c r="AI50" s="321"/>
      <c r="AJ50" s="321"/>
      <c r="AK50" s="321"/>
      <c r="AL50" s="321"/>
      <c r="AM50" s="321"/>
      <c r="AN50" s="321"/>
      <c r="AO50" s="321"/>
      <c r="AP50" s="321"/>
      <c r="AQ50" s="321"/>
      <c r="AR50" s="321"/>
      <c r="AS50" s="339"/>
      <c r="AT50" s="15"/>
      <c r="AU50" s="163"/>
      <c r="AV50" s="205"/>
      <c r="AW50" s="221"/>
      <c r="AX50" s="221"/>
      <c r="AY50" s="221"/>
      <c r="AZ50" s="221"/>
      <c r="BA50" s="221"/>
      <c r="BB50" s="163"/>
      <c r="BC50" s="163"/>
      <c r="BD50" s="221"/>
      <c r="BE50" s="221"/>
      <c r="BF50" s="221"/>
      <c r="BG50" s="221"/>
      <c r="BH50" s="238"/>
      <c r="BI50" s="240"/>
      <c r="BJ50" s="205"/>
      <c r="BK50" s="264"/>
      <c r="BL50" s="264"/>
      <c r="BM50" s="264"/>
      <c r="BN50" s="264"/>
      <c r="BO50" s="249"/>
      <c r="BP50" s="169"/>
      <c r="BQ50" s="344" t="s">
        <v>178</v>
      </c>
      <c r="BR50" s="344" t="s">
        <v>179</v>
      </c>
      <c r="BS50" s="344" t="s">
        <v>141</v>
      </c>
      <c r="BT50" s="344" t="s">
        <v>142</v>
      </c>
      <c r="BU50" s="344" t="s">
        <v>143</v>
      </c>
      <c r="BV50" s="344"/>
      <c r="BW50" s="343" t="s">
        <v>130</v>
      </c>
      <c r="BX50" s="205"/>
      <c r="BY50" s="215"/>
      <c r="BZ50" s="215"/>
      <c r="CA50" s="215"/>
      <c r="CB50" s="214"/>
      <c r="CC50" s="163"/>
      <c r="CG50" s="9"/>
      <c r="CH50" s="9"/>
      <c r="CI50" s="9"/>
      <c r="CJ50" s="9"/>
      <c r="CK50" s="9"/>
      <c r="CL50" s="9"/>
      <c r="CM50" s="12"/>
      <c r="CN50" s="12"/>
    </row>
    <row r="51" spans="2:92" ht="15" customHeight="1" x14ac:dyDescent="0.35">
      <c r="B51" s="86"/>
      <c r="C51" s="406" t="s">
        <v>54</v>
      </c>
      <c r="D51" s="406"/>
      <c r="E51" s="406"/>
      <c r="F51" s="406"/>
      <c r="G51" s="69"/>
      <c r="H51" s="405" t="s">
        <v>101</v>
      </c>
      <c r="I51" s="383"/>
      <c r="J51" s="391"/>
      <c r="K51" s="392"/>
      <c r="L51" s="60"/>
      <c r="M51" s="22"/>
      <c r="N51" s="82"/>
      <c r="O51" s="135"/>
      <c r="P51" s="135"/>
      <c r="Q51" s="135"/>
      <c r="R51" s="135"/>
      <c r="S51" s="136"/>
      <c r="T51" s="135"/>
      <c r="U51" s="135"/>
      <c r="V51" s="135"/>
      <c r="W51" s="135"/>
      <c r="X51" s="135"/>
      <c r="Y51" s="135"/>
      <c r="Z51" s="135"/>
      <c r="AA51" s="135"/>
      <c r="AB51" s="134"/>
      <c r="AC51" s="11"/>
      <c r="AD51" s="340"/>
      <c r="AE51" s="321"/>
      <c r="AF51" s="321"/>
      <c r="AG51" s="321"/>
      <c r="AH51" s="321"/>
      <c r="AI51" s="321"/>
      <c r="AJ51" s="321"/>
      <c r="AK51" s="321"/>
      <c r="AL51" s="321"/>
      <c r="AM51" s="321"/>
      <c r="AN51" s="321"/>
      <c r="AO51" s="321"/>
      <c r="AP51" s="321"/>
      <c r="AQ51" s="321"/>
      <c r="AR51" s="321"/>
      <c r="AS51" s="415"/>
      <c r="AT51" s="15"/>
      <c r="AU51" s="163"/>
      <c r="AV51" s="205"/>
      <c r="AW51" s="221"/>
      <c r="AX51" s="221"/>
      <c r="AY51" s="221"/>
      <c r="AZ51" s="308" t="s">
        <v>216</v>
      </c>
      <c r="BA51" s="308" t="s">
        <v>215</v>
      </c>
      <c r="BB51" s="221"/>
      <c r="BC51" s="221"/>
      <c r="BD51" s="221"/>
      <c r="BE51" s="221"/>
      <c r="BF51" s="221"/>
      <c r="BG51" s="221"/>
      <c r="BH51" s="216">
        <f>IF(H15="Imperial",                (((BA99*(BA101)*H55)/1728)*(H33/100)),                     (((BA99*(BA101)*H55)/1000000000)*(H33/100)))</f>
        <v>0</v>
      </c>
      <c r="BI51" s="265"/>
      <c r="BJ51" s="205"/>
      <c r="BK51" s="266" t="s">
        <v>62</v>
      </c>
      <c r="BL51" s="267"/>
      <c r="BM51" s="267"/>
      <c r="BN51" s="267"/>
      <c r="BO51" s="259">
        <f>BL13+BL17+BL21+BL25</f>
        <v>86</v>
      </c>
      <c r="BP51" s="169"/>
      <c r="BQ51" s="344"/>
      <c r="BR51" s="344"/>
      <c r="BS51" s="344"/>
      <c r="BT51" s="344"/>
      <c r="BU51" s="344"/>
      <c r="BV51" s="344"/>
      <c r="BW51" s="343"/>
      <c r="BX51" s="205"/>
      <c r="BY51" s="215"/>
      <c r="BZ51" s="215"/>
      <c r="CA51" s="215"/>
      <c r="CB51" s="214"/>
      <c r="CC51" s="163"/>
      <c r="CG51" s="15"/>
      <c r="CH51" s="15"/>
      <c r="CI51" s="15"/>
      <c r="CJ51" s="15"/>
      <c r="CK51" s="15"/>
      <c r="CL51" s="15"/>
      <c r="CM51" s="15"/>
      <c r="CN51" s="15"/>
    </row>
    <row r="52" spans="2:92" ht="3.75" customHeight="1" x14ac:dyDescent="0.25">
      <c r="B52" s="86"/>
      <c r="C52" s="79"/>
      <c r="D52" s="79"/>
      <c r="E52" s="79"/>
      <c r="F52" s="79"/>
      <c r="G52" s="44"/>
      <c r="H52" s="69"/>
      <c r="I52" s="69"/>
      <c r="J52" s="44"/>
      <c r="K52" s="44"/>
      <c r="L52" s="60"/>
      <c r="M52" s="22"/>
      <c r="N52" s="70"/>
      <c r="O52" s="122"/>
      <c r="P52" s="122"/>
      <c r="Q52" s="122"/>
      <c r="R52" s="128"/>
      <c r="S52" s="128"/>
      <c r="T52" s="128"/>
      <c r="U52" s="128"/>
      <c r="V52" s="184"/>
      <c r="W52" s="184"/>
      <c r="X52" s="184"/>
      <c r="Y52" s="122"/>
      <c r="Z52" s="122"/>
      <c r="AA52" s="122"/>
      <c r="AB52" s="126"/>
      <c r="AC52" s="37"/>
      <c r="AD52" s="340"/>
      <c r="AE52" s="321"/>
      <c r="AF52" s="321"/>
      <c r="AG52" s="321"/>
      <c r="AH52" s="321"/>
      <c r="AI52" s="321"/>
      <c r="AJ52" s="321"/>
      <c r="AK52" s="321"/>
      <c r="AL52" s="321"/>
      <c r="AM52" s="321"/>
      <c r="AN52" s="321"/>
      <c r="AO52" s="321"/>
      <c r="AP52" s="321"/>
      <c r="AQ52" s="321"/>
      <c r="AR52" s="321"/>
      <c r="AS52" s="415"/>
      <c r="AT52" s="15"/>
      <c r="AU52" s="163"/>
      <c r="AV52" s="205"/>
      <c r="AW52" s="221"/>
      <c r="AX52" s="221"/>
      <c r="AY52" s="221"/>
      <c r="AZ52" s="308"/>
      <c r="BA52" s="308"/>
      <c r="BB52" s="221"/>
      <c r="BC52" s="221"/>
      <c r="BD52" s="221"/>
      <c r="BE52" s="221"/>
      <c r="BF52" s="221"/>
      <c r="BG52" s="221"/>
      <c r="BH52" s="216"/>
      <c r="BI52" s="243"/>
      <c r="BJ52" s="205"/>
      <c r="BK52" s="268"/>
      <c r="BL52" s="244"/>
      <c r="BM52" s="249"/>
      <c r="BN52" s="249"/>
      <c r="BO52" s="249"/>
      <c r="BP52" s="169"/>
      <c r="BQ52" s="344"/>
      <c r="BR52" s="344"/>
      <c r="BS52" s="344"/>
      <c r="BT52" s="344"/>
      <c r="BU52" s="344"/>
      <c r="BV52" s="344"/>
      <c r="BW52" s="343"/>
      <c r="BX52" s="205"/>
      <c r="BY52" s="215"/>
      <c r="BZ52" s="215"/>
      <c r="CA52" s="215"/>
      <c r="CB52" s="214"/>
      <c r="CC52" s="163"/>
    </row>
    <row r="53" spans="2:92" ht="15" customHeight="1" x14ac:dyDescent="0.3">
      <c r="B53" s="86"/>
      <c r="C53" s="406" t="s">
        <v>218</v>
      </c>
      <c r="D53" s="406"/>
      <c r="E53" s="406"/>
      <c r="F53" s="406"/>
      <c r="G53" s="69"/>
      <c r="H53" s="384">
        <v>1</v>
      </c>
      <c r="I53" s="385"/>
      <c r="J53" s="44"/>
      <c r="K53" s="44"/>
      <c r="L53" s="60"/>
      <c r="M53" s="22"/>
      <c r="N53" s="70"/>
      <c r="O53" s="317" t="str">
        <f>IF(H37&lt;3,            "NO LAYER",         IF(H37=3,   "1st LAYER (bottom)",       "2nd LAYER"))</f>
        <v>NO LAYER</v>
      </c>
      <c r="P53" s="317"/>
      <c r="Q53" s="317"/>
      <c r="R53" s="317"/>
      <c r="S53" s="317"/>
      <c r="T53" s="122"/>
      <c r="U53" s="122"/>
      <c r="V53" s="122"/>
      <c r="W53" s="122"/>
      <c r="X53" s="122"/>
      <c r="Y53" s="122"/>
      <c r="Z53" s="122"/>
      <c r="AA53" s="122"/>
      <c r="AB53" s="126"/>
      <c r="AC53" s="15"/>
      <c r="AD53" s="340"/>
      <c r="AE53" s="321"/>
      <c r="AF53" s="321"/>
      <c r="AG53" s="321"/>
      <c r="AH53" s="321"/>
      <c r="AI53" s="321"/>
      <c r="AJ53" s="321"/>
      <c r="AK53" s="321"/>
      <c r="AL53" s="321"/>
      <c r="AM53" s="321"/>
      <c r="AN53" s="321"/>
      <c r="AO53" s="321"/>
      <c r="AP53" s="321"/>
      <c r="AQ53" s="321"/>
      <c r="AR53" s="321"/>
      <c r="AS53" s="339"/>
      <c r="AT53" s="15"/>
      <c r="AU53" s="163"/>
      <c r="AV53" s="205"/>
      <c r="AW53" s="221"/>
      <c r="AX53" s="221"/>
      <c r="AY53" s="221"/>
      <c r="AZ53" s="308"/>
      <c r="BA53" s="308"/>
      <c r="BB53" s="221"/>
      <c r="BC53" s="221"/>
      <c r="BD53" s="221"/>
      <c r="BE53" s="221"/>
      <c r="BF53" s="221"/>
      <c r="BG53" s="221"/>
      <c r="BH53" s="216" t="s">
        <v>173</v>
      </c>
      <c r="BI53" s="163"/>
      <c r="BJ53" s="163"/>
      <c r="BK53" s="268"/>
      <c r="BL53" s="244"/>
      <c r="BM53" s="249"/>
      <c r="BN53" s="249"/>
      <c r="BO53" s="249"/>
      <c r="BP53" s="169"/>
      <c r="BQ53" s="344"/>
      <c r="BR53" s="344"/>
      <c r="BS53" s="344"/>
      <c r="BT53" s="344"/>
      <c r="BU53" s="344"/>
      <c r="BV53" s="344"/>
      <c r="BW53" s="343"/>
      <c r="BX53" s="205"/>
      <c r="BY53" s="215"/>
      <c r="BZ53" s="215"/>
      <c r="CA53" s="215"/>
      <c r="CB53" s="214"/>
      <c r="CC53" s="163"/>
    </row>
    <row r="54" spans="2:92" ht="3.75" customHeight="1" x14ac:dyDescent="0.25">
      <c r="B54" s="86"/>
      <c r="C54" s="198"/>
      <c r="D54" s="198"/>
      <c r="E54" s="198"/>
      <c r="F54" s="198"/>
      <c r="G54" s="69"/>
      <c r="H54" s="66"/>
      <c r="I54" s="66"/>
      <c r="J54" s="44"/>
      <c r="K54" s="44"/>
      <c r="L54" s="87"/>
      <c r="M54" s="22"/>
      <c r="N54" s="70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6"/>
      <c r="AC54" s="15"/>
      <c r="AD54" s="340"/>
      <c r="AE54" s="321"/>
      <c r="AF54" s="321"/>
      <c r="AG54" s="321"/>
      <c r="AH54" s="321"/>
      <c r="AI54" s="321"/>
      <c r="AJ54" s="321"/>
      <c r="AK54" s="321"/>
      <c r="AL54" s="321"/>
      <c r="AM54" s="321"/>
      <c r="AN54" s="321"/>
      <c r="AO54" s="321"/>
      <c r="AP54" s="321"/>
      <c r="AQ54" s="321"/>
      <c r="AR54" s="321"/>
      <c r="AS54" s="339"/>
      <c r="AT54" s="15"/>
      <c r="AU54" s="163"/>
      <c r="AV54" s="205"/>
      <c r="AW54" s="221"/>
      <c r="AX54" s="221"/>
      <c r="AY54" s="221"/>
      <c r="AZ54" s="221"/>
      <c r="BA54" s="221"/>
      <c r="BB54" s="163"/>
      <c r="BC54" s="163"/>
      <c r="BD54" s="221"/>
      <c r="BE54" s="221"/>
      <c r="BF54" s="221"/>
      <c r="BG54" s="221"/>
      <c r="BH54" s="216"/>
      <c r="BI54" s="163"/>
      <c r="BJ54" s="163"/>
      <c r="BK54" s="268"/>
      <c r="BL54" s="244"/>
      <c r="BM54" s="249"/>
      <c r="BN54" s="249"/>
      <c r="BO54" s="249"/>
      <c r="BP54" s="169"/>
      <c r="BQ54" s="309">
        <f>IF(BR28=1,            0,        IF(BV34&lt;=3,            0,          BV34-1-2))</f>
        <v>26</v>
      </c>
      <c r="BR54" s="309">
        <f>IF(BV34=1,          1,               BV34-1)</f>
        <v>28</v>
      </c>
      <c r="BS54" s="309">
        <f>IF(BR28=1,        IF(BR54=1,        AZ13,             BG13),               IF(BR28=2,              IF(BR54=1,           BD13,               4*BB67),                IF(BR54=1,         BD13+(BT28*BH15),      (4*BB67)+(2*BT28*BC67))))</f>
        <v>794.68777777777768</v>
      </c>
      <c r="BT54" s="309">
        <f>IF(BQ54=0,   0,   IF(BR28=1,    IF(H15="Imperial",        BQ54*(BG67+(((BE61*(H55-(H45/2))*BE65)/1728)*(H33/100))),      BQ54*(BG67+(((BE61*(H55-(H45/2))*BE65)/1000000000)*(H33/100)))),                                                    IF(BR28=2,            2*BQ54*BG67,        (2*BQ54*BG67)+(BT28*BQ54*BH67))))</f>
        <v>9000.0011111111107</v>
      </c>
      <c r="BU54" s="309">
        <f>BS54+BT54</f>
        <v>9794.688888888888</v>
      </c>
      <c r="BV54" s="309"/>
      <c r="BW54" s="305">
        <f>IF(BQ28&lt;=BU54,         0,            BQ28-BU54)</f>
        <v>205.31111111111204</v>
      </c>
      <c r="BX54" s="205"/>
      <c r="BY54" s="215"/>
      <c r="BZ54" s="215"/>
      <c r="CA54" s="215"/>
      <c r="CB54" s="214"/>
      <c r="CC54" s="163"/>
    </row>
    <row r="55" spans="2:92" ht="15" customHeight="1" x14ac:dyDescent="0.25">
      <c r="B55" s="157"/>
      <c r="C55" s="158"/>
      <c r="D55" s="158"/>
      <c r="E55" s="158"/>
      <c r="F55" s="159" t="str">
        <f>IF(H15="Imperial",     "Border Size (min. 12 Inches)",       "Border Size (min. 300mm)")</f>
        <v>Border Size (min. 12 Inches)</v>
      </c>
      <c r="G55" s="160"/>
      <c r="H55" s="401">
        <f>IF(H15="Imperial",    12,    300)</f>
        <v>12</v>
      </c>
      <c r="I55" s="401"/>
      <c r="J55" s="114"/>
      <c r="K55" s="114" t="str">
        <f>IF($H$15="Imperial","in","mm")</f>
        <v>in</v>
      </c>
      <c r="L55" s="115"/>
      <c r="M55" s="15"/>
      <c r="N55" s="70"/>
      <c r="O55" s="127" t="s">
        <v>89</v>
      </c>
      <c r="P55" s="182">
        <f>IF(H37&lt;3,        0,           BO153)</f>
        <v>0</v>
      </c>
      <c r="Q55" s="128" t="str">
        <f>IF(H$15="Imperial",    "ft",       "m")</f>
        <v>ft</v>
      </c>
      <c r="R55" s="318" t="s">
        <v>15</v>
      </c>
      <c r="S55" s="318"/>
      <c r="T55" s="121"/>
      <c r="U55" s="121">
        <f>BO149</f>
        <v>0</v>
      </c>
      <c r="V55" s="121" t="s">
        <v>16</v>
      </c>
      <c r="W55" s="121"/>
      <c r="X55" s="121">
        <f>BO150</f>
        <v>0</v>
      </c>
      <c r="Y55" s="121" t="s">
        <v>17</v>
      </c>
      <c r="Z55" s="121"/>
      <c r="AA55" s="121"/>
      <c r="AB55" s="126"/>
      <c r="AC55" s="15"/>
      <c r="AD55" s="340"/>
      <c r="AE55" s="321"/>
      <c r="AF55" s="321"/>
      <c r="AG55" s="321"/>
      <c r="AH55" s="321"/>
      <c r="AI55" s="321"/>
      <c r="AJ55" s="321"/>
      <c r="AK55" s="321"/>
      <c r="AL55" s="321"/>
      <c r="AM55" s="321"/>
      <c r="AN55" s="321"/>
      <c r="AO55" s="321"/>
      <c r="AP55" s="321"/>
      <c r="AQ55" s="321"/>
      <c r="AR55" s="321"/>
      <c r="AS55" s="339"/>
      <c r="AT55" s="15"/>
      <c r="AU55" s="163"/>
      <c r="AV55" s="205"/>
      <c r="AW55" s="362" t="str">
        <f>IF($H$15="Imperial","Imperial","Metric")</f>
        <v>Imperial</v>
      </c>
      <c r="AX55" s="362"/>
      <c r="AY55" s="163">
        <f>119.76+60.08</f>
        <v>179.84</v>
      </c>
      <c r="AZ55" s="163">
        <f>BC67-BA55</f>
        <v>117.82805555555555</v>
      </c>
      <c r="BA55" s="163">
        <f>((12*BA61*BA63)/1728)*0.4</f>
        <v>8.8166666666666682</v>
      </c>
      <c r="BB55" s="163">
        <f>((AZ61*(AZ63+6)*6)/1728)*0.4</f>
        <v>5.2708333333333339</v>
      </c>
      <c r="BC55" s="163">
        <f>(((H55-4.5)*AZ61*AY65)/1728)*0.4</f>
        <v>7.7465277777777777</v>
      </c>
      <c r="BD55" s="163">
        <f>((((H55-4.5)*BE61*BD65))/1728)*0.4</f>
        <v>7.2673611111111116</v>
      </c>
      <c r="BE55" s="163"/>
      <c r="BF55" s="163"/>
      <c r="BG55" s="163">
        <f>BD67+BE67</f>
        <v>117.80708333333334</v>
      </c>
      <c r="BH55" s="216">
        <f>BH47+BH51+AZ7</f>
        <v>49.440000000000005</v>
      </c>
      <c r="BI55" s="163"/>
      <c r="BJ55" s="163"/>
      <c r="BK55" s="364" t="s">
        <v>90</v>
      </c>
      <c r="BL55" s="364"/>
      <c r="BM55" s="364"/>
      <c r="BN55" s="269">
        <f>(BB67*1728)/AZ65</f>
        <v>2145.7255045871557</v>
      </c>
      <c r="BO55" s="242"/>
      <c r="BP55" s="169"/>
      <c r="BQ55" s="309"/>
      <c r="BR55" s="309"/>
      <c r="BS55" s="309"/>
      <c r="BT55" s="309"/>
      <c r="BU55" s="309"/>
      <c r="BV55" s="309"/>
      <c r="BW55" s="305"/>
      <c r="BX55" s="205"/>
      <c r="BY55" s="215"/>
      <c r="BZ55" s="215"/>
      <c r="CA55" s="215"/>
      <c r="CB55" s="214"/>
      <c r="CC55" s="163"/>
    </row>
    <row r="56" spans="2:92" ht="3.75" customHeight="1" x14ac:dyDescent="0.25">
      <c r="B56" s="161"/>
      <c r="C56" s="162"/>
      <c r="D56" s="162"/>
      <c r="E56" s="162"/>
      <c r="F56" s="162"/>
      <c r="G56" s="116"/>
      <c r="H56" s="116"/>
      <c r="I56" s="116"/>
      <c r="J56" s="116"/>
      <c r="K56" s="117"/>
      <c r="L56" s="115"/>
      <c r="M56" s="15"/>
      <c r="N56" s="70"/>
      <c r="O56" s="121"/>
      <c r="P56" s="121"/>
      <c r="Q56" s="128"/>
      <c r="R56" s="121"/>
      <c r="S56" s="123"/>
      <c r="T56" s="121"/>
      <c r="U56" s="121"/>
      <c r="V56" s="121"/>
      <c r="W56" s="121"/>
      <c r="X56" s="121"/>
      <c r="Y56" s="121"/>
      <c r="Z56" s="121"/>
      <c r="AA56" s="121"/>
      <c r="AB56" s="126"/>
      <c r="AC56" s="15"/>
      <c r="AD56" s="340"/>
      <c r="AE56" s="321"/>
      <c r="AF56" s="321"/>
      <c r="AG56" s="321"/>
      <c r="AH56" s="321"/>
      <c r="AI56" s="321"/>
      <c r="AJ56" s="321"/>
      <c r="AK56" s="321"/>
      <c r="AL56" s="321"/>
      <c r="AM56" s="321"/>
      <c r="AN56" s="321"/>
      <c r="AO56" s="321"/>
      <c r="AP56" s="321"/>
      <c r="AQ56" s="321"/>
      <c r="AR56" s="321"/>
      <c r="AS56" s="339"/>
      <c r="AT56" s="11"/>
      <c r="AU56" s="169"/>
      <c r="AV56" s="205"/>
      <c r="AW56" s="163"/>
      <c r="AX56" s="163"/>
      <c r="AY56" s="163"/>
      <c r="AZ56" s="163"/>
      <c r="BA56" s="163"/>
      <c r="BB56" s="163"/>
      <c r="BC56" s="163"/>
      <c r="BD56" s="163"/>
      <c r="BE56" s="163"/>
      <c r="BF56" s="163"/>
      <c r="BG56" s="163"/>
      <c r="BH56" s="163"/>
      <c r="BI56" s="163"/>
      <c r="BJ56" s="163"/>
      <c r="BK56" s="264"/>
      <c r="BL56" s="270"/>
      <c r="BM56" s="264"/>
      <c r="BN56" s="265"/>
      <c r="BO56" s="249"/>
      <c r="BP56" s="169"/>
      <c r="BQ56" s="344" t="s">
        <v>131</v>
      </c>
      <c r="BR56" s="344" t="s">
        <v>132</v>
      </c>
      <c r="BS56" s="163"/>
      <c r="BT56" s="163"/>
      <c r="BU56" s="241"/>
      <c r="BV56" s="241"/>
      <c r="BW56" s="206"/>
      <c r="BX56" s="205"/>
      <c r="BY56" s="215"/>
      <c r="BZ56" s="215"/>
      <c r="CA56" s="215"/>
      <c r="CB56" s="214"/>
      <c r="CC56" s="163"/>
    </row>
    <row r="57" spans="2:92" ht="15" customHeight="1" x14ac:dyDescent="0.25">
      <c r="B57" s="402" t="s">
        <v>69</v>
      </c>
      <c r="C57" s="403"/>
      <c r="D57" s="403"/>
      <c r="E57" s="403"/>
      <c r="F57" s="403"/>
      <c r="G57" s="160"/>
      <c r="H57" s="423" t="s">
        <v>100</v>
      </c>
      <c r="I57" s="423"/>
      <c r="J57" s="114"/>
      <c r="K57" s="114"/>
      <c r="L57" s="118"/>
      <c r="M57" s="15"/>
      <c r="N57" s="70"/>
      <c r="O57" s="130" t="s">
        <v>87</v>
      </c>
      <c r="P57" s="131">
        <f>IF(H37&lt;3,            0,            BO154)</f>
        <v>0</v>
      </c>
      <c r="Q57" s="125" t="str">
        <f>IF(H$15="Imperial",    "ft",       "m")</f>
        <v>ft</v>
      </c>
      <c r="R57" s="319" t="s">
        <v>205</v>
      </c>
      <c r="S57" s="319"/>
      <c r="T57" s="319"/>
      <c r="U57" s="319"/>
      <c r="V57" s="319"/>
      <c r="W57" s="319"/>
      <c r="X57" s="319"/>
      <c r="Y57" s="319"/>
      <c r="Z57" s="319"/>
      <c r="AA57" s="319"/>
      <c r="AB57" s="320"/>
      <c r="AC57" s="15"/>
      <c r="AD57" s="340"/>
      <c r="AE57" s="321"/>
      <c r="AF57" s="321"/>
      <c r="AG57" s="321"/>
      <c r="AH57" s="321"/>
      <c r="AI57" s="321"/>
      <c r="AJ57" s="321"/>
      <c r="AK57" s="321"/>
      <c r="AL57" s="321"/>
      <c r="AM57" s="321"/>
      <c r="AN57" s="321"/>
      <c r="AO57" s="321"/>
      <c r="AP57" s="321"/>
      <c r="AQ57" s="321"/>
      <c r="AR57" s="321"/>
      <c r="AS57" s="339"/>
      <c r="AT57" s="11"/>
      <c r="AU57" s="169"/>
      <c r="AV57" s="205"/>
      <c r="AW57" s="310" t="str">
        <f>IF($H$37&lt;2,"All Chamber Layers","Top Chamber Layer")</f>
        <v>All Chamber Layers</v>
      </c>
      <c r="AX57" s="310"/>
      <c r="AY57" s="310" t="s">
        <v>25</v>
      </c>
      <c r="AZ57" s="310"/>
      <c r="BA57" s="310"/>
      <c r="BB57" s="310"/>
      <c r="BC57" s="310"/>
      <c r="BD57" s="310" t="s">
        <v>24</v>
      </c>
      <c r="BE57" s="310"/>
      <c r="BF57" s="310"/>
      <c r="BG57" s="310"/>
      <c r="BH57" s="310"/>
      <c r="BI57" s="163"/>
      <c r="BJ57" s="163"/>
      <c r="BK57" s="363" t="s">
        <v>91</v>
      </c>
      <c r="BL57" s="363"/>
      <c r="BM57" s="363"/>
      <c r="BN57" s="265">
        <f>(BB67*1728)/AZ63</f>
        <v>3057.3082352941174</v>
      </c>
      <c r="BO57" s="249"/>
      <c r="BP57" s="169"/>
      <c r="BQ57" s="344"/>
      <c r="BR57" s="344"/>
      <c r="BS57" s="271" t="s">
        <v>133</v>
      </c>
      <c r="BT57" s="212">
        <f>BR28</f>
        <v>3</v>
      </c>
      <c r="BU57" s="241" t="s">
        <v>137</v>
      </c>
      <c r="BV57" s="241"/>
      <c r="BW57" s="206"/>
      <c r="BX57" s="205"/>
      <c r="BY57" s="215"/>
      <c r="BZ57" s="215"/>
      <c r="CA57" s="215"/>
      <c r="CB57" s="214"/>
      <c r="CC57" s="163"/>
    </row>
    <row r="58" spans="2:92" ht="3.75" customHeight="1" x14ac:dyDescent="0.25">
      <c r="B58" s="402"/>
      <c r="C58" s="403"/>
      <c r="D58" s="403"/>
      <c r="E58" s="403"/>
      <c r="F58" s="403"/>
      <c r="G58" s="119"/>
      <c r="H58" s="423"/>
      <c r="I58" s="423"/>
      <c r="J58" s="119"/>
      <c r="K58" s="119"/>
      <c r="L58" s="118"/>
      <c r="M58" s="15"/>
      <c r="N58" s="70"/>
      <c r="O58" s="127"/>
      <c r="P58" s="184"/>
      <c r="Q58" s="128"/>
      <c r="R58" s="133"/>
      <c r="S58" s="121"/>
      <c r="T58" s="121"/>
      <c r="U58" s="121"/>
      <c r="V58" s="121"/>
      <c r="W58" s="121"/>
      <c r="X58" s="121"/>
      <c r="Y58" s="121"/>
      <c r="Z58" s="121"/>
      <c r="AA58" s="121"/>
      <c r="AB58" s="134"/>
      <c r="AC58" s="15"/>
      <c r="AD58" s="340"/>
      <c r="AE58" s="321"/>
      <c r="AF58" s="321"/>
      <c r="AG58" s="321"/>
      <c r="AH58" s="321"/>
      <c r="AI58" s="321"/>
      <c r="AJ58" s="321"/>
      <c r="AK58" s="321"/>
      <c r="AL58" s="321"/>
      <c r="AM58" s="321"/>
      <c r="AN58" s="321"/>
      <c r="AO58" s="321"/>
      <c r="AP58" s="321"/>
      <c r="AQ58" s="321"/>
      <c r="AR58" s="321"/>
      <c r="AS58" s="339"/>
      <c r="AT58" s="15"/>
      <c r="AU58" s="163"/>
      <c r="AV58" s="205"/>
      <c r="AW58" s="272"/>
      <c r="AX58" s="272"/>
      <c r="AY58" s="303" t="s">
        <v>8</v>
      </c>
      <c r="AZ58" s="302" t="s">
        <v>20</v>
      </c>
      <c r="BA58" s="302" t="s">
        <v>22</v>
      </c>
      <c r="BB58" s="302" t="s">
        <v>21</v>
      </c>
      <c r="BC58" s="302" t="s">
        <v>23</v>
      </c>
      <c r="BD58" s="303" t="s">
        <v>8</v>
      </c>
      <c r="BE58" s="302" t="s">
        <v>20</v>
      </c>
      <c r="BF58" s="302" t="s">
        <v>22</v>
      </c>
      <c r="BG58" s="302" t="s">
        <v>21</v>
      </c>
      <c r="BH58" s="302" t="s">
        <v>23</v>
      </c>
      <c r="BI58" s="163"/>
      <c r="BJ58" s="163"/>
      <c r="BK58" s="264"/>
      <c r="BL58" s="270"/>
      <c r="BM58" s="264"/>
      <c r="BN58" s="265"/>
      <c r="BO58" s="249"/>
      <c r="BP58" s="169"/>
      <c r="BQ58" s="344"/>
      <c r="BR58" s="344"/>
      <c r="BS58" s="163"/>
      <c r="BT58" s="163"/>
      <c r="BU58" s="241"/>
      <c r="BV58" s="241"/>
      <c r="BW58" s="206"/>
      <c r="BX58" s="205"/>
      <c r="BY58" s="215"/>
      <c r="BZ58" s="215"/>
      <c r="CA58" s="215"/>
      <c r="CB58" s="214"/>
      <c r="CC58" s="163"/>
    </row>
    <row r="59" spans="2:92" ht="16.5" customHeight="1" x14ac:dyDescent="0.25">
      <c r="B59" s="402"/>
      <c r="C59" s="403"/>
      <c r="D59" s="403"/>
      <c r="E59" s="403"/>
      <c r="F59" s="403"/>
      <c r="G59" s="114"/>
      <c r="H59" s="423"/>
      <c r="I59" s="423"/>
      <c r="J59" s="114"/>
      <c r="K59" s="114"/>
      <c r="L59" s="118"/>
      <c r="M59" s="15"/>
      <c r="N59" s="88"/>
      <c r="O59" s="132" t="s">
        <v>88</v>
      </c>
      <c r="P59" s="202">
        <f>IF(H37&lt;3,              0,           IF(H37=3,    IF(H15="Imperial",     (AY89+H29+(H39/2))/12,            (AY89+H29+(H39/2))/1000),            IF(H15="Imperial",      (AY89+H39)/12,       (AY89+H39)/1000)))</f>
        <v>0</v>
      </c>
      <c r="Q59" s="138" t="str">
        <f>IF(H$15="Imperial",    "ft",       "m")</f>
        <v>ft</v>
      </c>
      <c r="R59" s="324" t="s">
        <v>157</v>
      </c>
      <c r="S59" s="324"/>
      <c r="T59" s="324"/>
      <c r="U59" s="324"/>
      <c r="V59" s="327">
        <f>BO152</f>
        <v>0</v>
      </c>
      <c r="W59" s="327"/>
      <c r="X59" s="327"/>
      <c r="Y59" s="139" t="str">
        <f>IF(H15="Imperial",        "Cubic Feet",        "Cubic Meters")</f>
        <v>Cubic Feet</v>
      </c>
      <c r="Z59" s="139"/>
      <c r="AA59" s="139"/>
      <c r="AB59" s="134"/>
      <c r="AC59" s="15"/>
      <c r="AD59" s="340"/>
      <c r="AE59" s="321"/>
      <c r="AF59" s="321"/>
      <c r="AG59" s="321"/>
      <c r="AH59" s="321"/>
      <c r="AI59" s="321"/>
      <c r="AJ59" s="321"/>
      <c r="AK59" s="321"/>
      <c r="AL59" s="321"/>
      <c r="AM59" s="321"/>
      <c r="AN59" s="321"/>
      <c r="AO59" s="321"/>
      <c r="AP59" s="321"/>
      <c r="AQ59" s="321"/>
      <c r="AR59" s="321"/>
      <c r="AS59" s="339"/>
      <c r="AT59" s="15"/>
      <c r="AU59" s="163"/>
      <c r="AV59" s="205"/>
      <c r="AW59" s="304" t="str">
        <f>$H$19</f>
        <v>SC-34E</v>
      </c>
      <c r="AX59" s="206"/>
      <c r="AY59" s="303"/>
      <c r="AZ59" s="302"/>
      <c r="BA59" s="302"/>
      <c r="BB59" s="302"/>
      <c r="BC59" s="302"/>
      <c r="BD59" s="303"/>
      <c r="BE59" s="302"/>
      <c r="BF59" s="302"/>
      <c r="BG59" s="302"/>
      <c r="BH59" s="302"/>
      <c r="BI59" s="163"/>
      <c r="BJ59" s="163"/>
      <c r="BK59" s="364" t="s">
        <v>93</v>
      </c>
      <c r="BL59" s="364"/>
      <c r="BM59" s="364"/>
      <c r="BN59" s="248">
        <f>(BC67*1728)/BA65</f>
        <v>2007.7255045871559</v>
      </c>
      <c r="BO59" s="248"/>
      <c r="BP59" s="169"/>
      <c r="BQ59" s="344"/>
      <c r="BR59" s="344"/>
      <c r="BS59" s="271" t="s">
        <v>138</v>
      </c>
      <c r="BT59" s="212">
        <f>BQ60+BR60</f>
        <v>2</v>
      </c>
      <c r="BU59" s="241" t="s">
        <v>136</v>
      </c>
      <c r="BV59" s="241"/>
      <c r="BW59" s="206"/>
      <c r="BX59" s="205"/>
      <c r="BY59" s="215"/>
      <c r="BZ59" s="215"/>
      <c r="CA59" s="215"/>
      <c r="CB59" s="214"/>
      <c r="CC59" s="163"/>
    </row>
    <row r="60" spans="2:92" ht="3.75" customHeight="1" x14ac:dyDescent="0.25">
      <c r="B60" s="45"/>
      <c r="C60" s="44"/>
      <c r="D60" s="44"/>
      <c r="E60" s="44"/>
      <c r="F60" s="44"/>
      <c r="G60" s="44"/>
      <c r="H60" s="44"/>
      <c r="I60" s="44"/>
      <c r="J60" s="44"/>
      <c r="K60" s="44"/>
      <c r="L60" s="83"/>
      <c r="M60" s="15"/>
      <c r="N60" s="8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34"/>
      <c r="AC60" s="11"/>
      <c r="AD60" s="340"/>
      <c r="AE60" s="321"/>
      <c r="AF60" s="321"/>
      <c r="AG60" s="321"/>
      <c r="AH60" s="321"/>
      <c r="AI60" s="321"/>
      <c r="AJ60" s="321"/>
      <c r="AK60" s="321"/>
      <c r="AL60" s="321"/>
      <c r="AM60" s="321"/>
      <c r="AN60" s="321"/>
      <c r="AO60" s="321"/>
      <c r="AP60" s="321"/>
      <c r="AQ60" s="321"/>
      <c r="AR60" s="321"/>
      <c r="AS60" s="339"/>
      <c r="AT60" s="15"/>
      <c r="AU60" s="163"/>
      <c r="AV60" s="205"/>
      <c r="AW60" s="304"/>
      <c r="AX60" s="206"/>
      <c r="AY60" s="303"/>
      <c r="AZ60" s="302"/>
      <c r="BA60" s="302"/>
      <c r="BB60" s="302"/>
      <c r="BC60" s="302"/>
      <c r="BD60" s="303"/>
      <c r="BE60" s="302"/>
      <c r="BF60" s="302"/>
      <c r="BG60" s="302"/>
      <c r="BH60" s="302"/>
      <c r="BI60" s="248"/>
      <c r="BJ60" s="205"/>
      <c r="BK60" s="264"/>
      <c r="BL60" s="270"/>
      <c r="BM60" s="264"/>
      <c r="BN60" s="265"/>
      <c r="BO60" s="249"/>
      <c r="BP60" s="169"/>
      <c r="BQ60" s="309">
        <f>IF(BW54=0,           0,          IF(BV34&lt;=2,          IF(H15="Imperial",                         IF(BW54&lt;=(BB67+(((AZ61*(H55-(H45/2))*AZ65)/1728)*(H33/100))-(((AZ7+AZ9)-BB67)+(((AZ61*(AY63+H55+H55-(H45/2))*H55)/1728)*(H33/100))+(((AZ61*(H55-(H45/2))*(AZ5-AY65))/1728)*(H33/100)))),    1,   2),                                                                IF(BW54&lt;=(BB67+(((AZ61*(H55-(H45/2))*AZ65)/1000000000)*(H33/100))-(((AZ7+AZ9)-BB67)+(((AZ61*(AY63+H55+H55-(H45/2))*H55)/1000000000)*(H33/100))+(((AZ61*(H55-(H45/2))*(AZ5-AY65))/1000000000)*(H33/100)))),    1,   2)),                             IF(H15="Imperial",                                                               IF(BW54&lt;=(BG67+(((BE61*(H55-(H45/2))*BE65)/1728)*(H33/100))),                   1,        2),                  IF(BW54&lt;=(BG67+(((BE61*(H55-(H45/2))*BE65)/1000000000)*(H33/100))),         1,           2))))</f>
        <v>2</v>
      </c>
      <c r="BR60" s="309">
        <f>IF(BW54=0,        0,                 IF(BV34&lt;=2,          IF(H15="Imperial",           IF(BW54&lt;=(2*(BB67-((AZ7+AZ9)-BB67)-(((AZ61*AZ63*H55)/1728)*(H33/100)))),        0,                                                                               ROUNDUP((BW54-(2*(BB67-((AZ7+AZ9)-BB67)-(((AZ61*AZ63*H55)/1728)*(H33/100)))))/(BC67-((AZ7+BH7)-BC67)-(((BA61*BA63*H55)/1728)*(H33/100))),0)),                                                                                                                                                                   IF(BW54&lt;=(2*(BB67-((AZ7+AZ9)-BB67)-(((AZ61*AZ63*H55)/1000000000)*(H33/100)))),      0,          ROUNDUP((BW54-(2*(BB67-((AZ7+AZ9)-BB67)-(((AZ61*AZ63*H55)/1000000000)*(H33/100)))))/(BC67-((AZ7+BH7)-BC67)-(((BA61*BA63*H55)/1000000000)*(H33/100))),0))),             IF(BW54&lt;=(2*BG67),      0,           ROUNDUP((BW54-(2*BG67))/BH67,0))      ))</f>
        <v>0</v>
      </c>
      <c r="BS60" s="271"/>
      <c r="BT60" s="212"/>
      <c r="BU60" s="241"/>
      <c r="BV60" s="241"/>
      <c r="BW60" s="206"/>
      <c r="BX60" s="205"/>
      <c r="BY60" s="215"/>
      <c r="BZ60" s="215"/>
      <c r="CA60" s="215"/>
      <c r="CB60" s="214"/>
      <c r="CC60" s="163"/>
    </row>
    <row r="61" spans="2:92" ht="15.75" customHeight="1" x14ac:dyDescent="0.25">
      <c r="B61" s="82"/>
      <c r="C61" s="414" t="s">
        <v>224</v>
      </c>
      <c r="D61" s="414"/>
      <c r="E61" s="414"/>
      <c r="F61" s="414"/>
      <c r="G61" s="414"/>
      <c r="H61" s="414"/>
      <c r="I61" s="414"/>
      <c r="J61" s="89"/>
      <c r="K61" s="89"/>
      <c r="L61" s="90"/>
      <c r="M61" s="15"/>
      <c r="N61" s="82"/>
      <c r="O61" s="122"/>
      <c r="P61" s="122"/>
      <c r="Q61" s="122"/>
      <c r="R61" s="325" t="s">
        <v>195</v>
      </c>
      <c r="S61" s="325"/>
      <c r="T61" s="325"/>
      <c r="U61" s="325"/>
      <c r="V61" s="328">
        <f>(U55*X55)</f>
        <v>0</v>
      </c>
      <c r="W61" s="328"/>
      <c r="X61" s="328"/>
      <c r="Y61" s="122"/>
      <c r="Z61" s="122"/>
      <c r="AA61" s="122"/>
      <c r="AB61" s="134"/>
      <c r="AC61" s="11"/>
      <c r="AD61" s="340"/>
      <c r="AE61" s="321"/>
      <c r="AF61" s="321"/>
      <c r="AG61" s="321"/>
      <c r="AH61" s="321"/>
      <c r="AI61" s="321"/>
      <c r="AJ61" s="321"/>
      <c r="AK61" s="321"/>
      <c r="AL61" s="321"/>
      <c r="AM61" s="321"/>
      <c r="AN61" s="321"/>
      <c r="AO61" s="321"/>
      <c r="AP61" s="321"/>
      <c r="AQ61" s="321"/>
      <c r="AR61" s="321"/>
      <c r="AS61" s="339"/>
      <c r="AT61" s="11"/>
      <c r="AU61" s="169"/>
      <c r="AV61" s="205"/>
      <c r="AW61" s="304"/>
      <c r="AX61" s="206" t="str">
        <f>IF($H$15="Imperial","Height (in)","Height (mm)")</f>
        <v>Height (in)</v>
      </c>
      <c r="AY61" s="206">
        <f>IF($H$15="Imperial",                IF($H$19="SC-18",       18,      IF($H$19="SC-44",            44,            34)),             IF($H$19="SC-18",       457,         IF($H$19="SC-44",                  1117,              864)))</f>
        <v>34</v>
      </c>
      <c r="AZ61" s="206">
        <f>IF($H$37=1,          AY61+$H$29+$H$27,           AY61+$H$27+($H$39/2))</f>
        <v>46</v>
      </c>
      <c r="BA61" s="206">
        <f>IF($H$37=1,         AY61+$H$29+$H$27,           AY61+$H$27+($H$39/2))</f>
        <v>46</v>
      </c>
      <c r="BB61" s="206"/>
      <c r="BC61" s="206"/>
      <c r="BD61" s="206">
        <f>IF($H$15="Imperial",         IF($H$19="SC-18",             18,           IF($H$19="SC-44",     44,     34)),             IF($H$19="SC-18",             457,            IF($H$19="SC-44",      1117,   864)))</f>
        <v>34</v>
      </c>
      <c r="BE61" s="206">
        <f>IF($H$37=1,       BD61+$H$29+$H$27,           BD61+$H$27+($H$39/2))</f>
        <v>46</v>
      </c>
      <c r="BF61" s="206">
        <f>IF($H$37=1,           BD61+$H$29+$H$27,         BD61+H27+($H$39/2))</f>
        <v>46</v>
      </c>
      <c r="BG61" s="260"/>
      <c r="BH61" s="206"/>
      <c r="BI61" s="205"/>
      <c r="BJ61" s="205"/>
      <c r="BK61" s="363" t="s">
        <v>94</v>
      </c>
      <c r="BL61" s="363"/>
      <c r="BM61" s="363"/>
      <c r="BN61" s="265">
        <f>(BC67*1728)/BA63</f>
        <v>3171.6243478260867</v>
      </c>
      <c r="BO61" s="249"/>
      <c r="BP61" s="169"/>
      <c r="BQ61" s="309"/>
      <c r="BR61" s="309"/>
      <c r="BS61" s="271" t="s">
        <v>180</v>
      </c>
      <c r="BT61" s="212">
        <f>IF(BW54=0,              0,         BT57-BT59)</f>
        <v>1</v>
      </c>
      <c r="BU61" s="163"/>
      <c r="BV61" s="163">
        <f>BW54-(2*(BG67+(((6*BE61*BE65)/1728)*(H33/100))))</f>
        <v>-41.930833333332401</v>
      </c>
      <c r="BW61" s="206"/>
      <c r="BX61" s="205"/>
      <c r="BY61" s="215"/>
      <c r="BZ61" s="215"/>
      <c r="CA61" s="215"/>
      <c r="CB61" s="214"/>
      <c r="CC61" s="163"/>
    </row>
    <row r="62" spans="2:92" ht="3.75" customHeight="1" x14ac:dyDescent="0.25">
      <c r="B62" s="91"/>
      <c r="C62" s="414"/>
      <c r="D62" s="414"/>
      <c r="E62" s="414"/>
      <c r="F62" s="414"/>
      <c r="G62" s="414"/>
      <c r="H62" s="414"/>
      <c r="I62" s="414"/>
      <c r="J62" s="89"/>
      <c r="K62" s="89"/>
      <c r="L62" s="90"/>
      <c r="M62" s="15"/>
      <c r="N62" s="70"/>
      <c r="O62" s="122"/>
      <c r="P62" s="122"/>
      <c r="Q62" s="122"/>
      <c r="R62" s="128"/>
      <c r="S62" s="128"/>
      <c r="T62" s="128"/>
      <c r="U62" s="128"/>
      <c r="V62" s="184"/>
      <c r="W62" s="184"/>
      <c r="X62" s="184"/>
      <c r="Y62" s="122"/>
      <c r="Z62" s="122"/>
      <c r="AA62" s="122"/>
      <c r="AB62" s="126"/>
      <c r="AC62" s="15"/>
      <c r="AD62" s="340"/>
      <c r="AE62" s="321"/>
      <c r="AF62" s="321"/>
      <c r="AG62" s="321"/>
      <c r="AH62" s="321"/>
      <c r="AI62" s="321"/>
      <c r="AJ62" s="321"/>
      <c r="AK62" s="321"/>
      <c r="AL62" s="321"/>
      <c r="AM62" s="321"/>
      <c r="AN62" s="321"/>
      <c r="AO62" s="321"/>
      <c r="AP62" s="321"/>
      <c r="AQ62" s="321"/>
      <c r="AR62" s="321"/>
      <c r="AS62" s="339"/>
      <c r="AT62" s="15"/>
      <c r="AU62" s="163"/>
      <c r="AV62" s="163"/>
      <c r="AW62" s="304"/>
      <c r="AX62" s="206"/>
      <c r="AY62" s="206"/>
      <c r="AZ62" s="206"/>
      <c r="BA62" s="206"/>
      <c r="BB62" s="206"/>
      <c r="BC62" s="206"/>
      <c r="BD62" s="206"/>
      <c r="BE62" s="206"/>
      <c r="BF62" s="206"/>
      <c r="BG62" s="260"/>
      <c r="BH62" s="206"/>
      <c r="BI62" s="163"/>
      <c r="BJ62" s="163"/>
      <c r="BK62" s="271"/>
      <c r="BL62" s="271"/>
      <c r="BM62" s="271"/>
      <c r="BN62" s="265"/>
      <c r="BO62" s="249"/>
      <c r="BP62" s="169"/>
      <c r="BQ62" s="205"/>
      <c r="BR62" s="205"/>
      <c r="BS62" s="271"/>
      <c r="BT62" s="212"/>
      <c r="BU62" s="241"/>
      <c r="BV62" s="241"/>
      <c r="BW62" s="206"/>
      <c r="BX62" s="205"/>
      <c r="BY62" s="215"/>
      <c r="BZ62" s="215"/>
      <c r="CA62" s="215"/>
      <c r="CB62" s="214"/>
      <c r="CC62" s="163"/>
    </row>
    <row r="63" spans="2:92" ht="15" customHeight="1" x14ac:dyDescent="0.25">
      <c r="B63" s="91"/>
      <c r="C63" s="414"/>
      <c r="D63" s="414"/>
      <c r="E63" s="414"/>
      <c r="F63" s="414"/>
      <c r="G63" s="414"/>
      <c r="H63" s="414"/>
      <c r="I63" s="414"/>
      <c r="J63" s="89"/>
      <c r="K63" s="89"/>
      <c r="L63" s="90"/>
      <c r="M63" s="15"/>
      <c r="N63" s="70"/>
      <c r="O63" s="135"/>
      <c r="P63" s="135"/>
      <c r="Q63" s="135"/>
      <c r="R63" s="135"/>
      <c r="S63" s="136"/>
      <c r="T63" s="135"/>
      <c r="U63" s="135"/>
      <c r="V63" s="135"/>
      <c r="W63" s="135"/>
      <c r="X63" s="135"/>
      <c r="Y63" s="135"/>
      <c r="Z63" s="135"/>
      <c r="AA63" s="135"/>
      <c r="AB63" s="126"/>
      <c r="AC63" s="15"/>
      <c r="AD63" s="340"/>
      <c r="AE63" s="321"/>
      <c r="AF63" s="321"/>
      <c r="AG63" s="321"/>
      <c r="AH63" s="321"/>
      <c r="AI63" s="321"/>
      <c r="AJ63" s="321"/>
      <c r="AK63" s="321"/>
      <c r="AL63" s="321"/>
      <c r="AM63" s="321"/>
      <c r="AN63" s="321"/>
      <c r="AO63" s="321"/>
      <c r="AP63" s="321"/>
      <c r="AQ63" s="321"/>
      <c r="AR63" s="321"/>
      <c r="AS63" s="339"/>
      <c r="AT63" s="11"/>
      <c r="AU63" s="169"/>
      <c r="AV63" s="163"/>
      <c r="AW63" s="304"/>
      <c r="AX63" s="206" t="str">
        <f>IF($H$15="Imperial","Width (in)","Width (mm)")</f>
        <v>Width (in)</v>
      </c>
      <c r="AY63" s="206">
        <f>IF($H$15="Imperial",        IF($H$19="SC-18",             38,                    IF($H$19="SC-44",       78,      60)),        IF($H$19="SC-18",             965,         IF($H$19="SC-44",      1981,       1524)))</f>
        <v>60</v>
      </c>
      <c r="AZ63" s="206">
        <f>IF(H15="Imperial",           AY63+($H$45/2)+H55,                 AY63+($H$45/2)+H55)</f>
        <v>76.5</v>
      </c>
      <c r="BA63" s="206">
        <f>AY63+$H$45</f>
        <v>69</v>
      </c>
      <c r="BB63" s="206"/>
      <c r="BC63" s="206"/>
      <c r="BD63" s="206">
        <f>IF($H$15="Imperial",          IF($H$19="SC-18",             38,          IF($H$19="SC-44",       78,       60)),           IF($H$19="SC-18",             965,            IF($H$19="SC-44",      1981,       1524)))</f>
        <v>60</v>
      </c>
      <c r="BE63" s="206">
        <f>IF(H15="Imperial",                 BD63+($H$45/2)+(H55),                 BD63+($H$45/2)+(H55))</f>
        <v>76.5</v>
      </c>
      <c r="BF63" s="206">
        <f>BD63+$H$45</f>
        <v>69</v>
      </c>
      <c r="BG63" s="260"/>
      <c r="BH63" s="206"/>
      <c r="BI63" s="163"/>
      <c r="BJ63" s="163"/>
      <c r="BK63" s="271"/>
      <c r="BL63" s="271"/>
      <c r="BM63" s="271"/>
      <c r="BN63" s="248"/>
      <c r="BO63" s="248"/>
      <c r="BP63" s="169"/>
      <c r="BQ63" s="240"/>
      <c r="BR63" s="240"/>
      <c r="BS63" s="271" t="s">
        <v>134</v>
      </c>
      <c r="BT63" s="212">
        <f>IF(BT57=BT59,       0,         IF(BW54=0,       0,     BR54))</f>
        <v>28</v>
      </c>
      <c r="BU63" s="241"/>
      <c r="BV63" s="241">
        <f>BV61/BH67</f>
        <v>-0.37932819524403405</v>
      </c>
      <c r="BW63" s="206"/>
      <c r="BX63" s="205"/>
      <c r="BY63" s="215"/>
      <c r="BZ63" s="215"/>
      <c r="CA63" s="215"/>
      <c r="CB63" s="214"/>
      <c r="CC63" s="163"/>
    </row>
    <row r="64" spans="2:92" ht="3.75" customHeight="1" x14ac:dyDescent="0.25">
      <c r="B64" s="82"/>
      <c r="C64" s="44"/>
      <c r="D64" s="44"/>
      <c r="E64" s="44"/>
      <c r="F64" s="44"/>
      <c r="G64" s="44"/>
      <c r="H64" s="44"/>
      <c r="I64" s="44"/>
      <c r="J64" s="44"/>
      <c r="K64" s="44"/>
      <c r="L64" s="83"/>
      <c r="M64" s="15"/>
      <c r="N64" s="70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6"/>
      <c r="AC64" s="15"/>
      <c r="AD64" s="340"/>
      <c r="AE64" s="321"/>
      <c r="AF64" s="321"/>
      <c r="AG64" s="321"/>
      <c r="AH64" s="321"/>
      <c r="AI64" s="321"/>
      <c r="AJ64" s="321"/>
      <c r="AK64" s="321"/>
      <c r="AL64" s="321"/>
      <c r="AM64" s="321"/>
      <c r="AN64" s="321"/>
      <c r="AO64" s="321"/>
      <c r="AP64" s="321"/>
      <c r="AQ64" s="321"/>
      <c r="AR64" s="321"/>
      <c r="AS64" s="339"/>
      <c r="AT64" s="15"/>
      <c r="AU64" s="163"/>
      <c r="AV64" s="163"/>
      <c r="AW64" s="304"/>
      <c r="AX64" s="206"/>
      <c r="AY64" s="206"/>
      <c r="AZ64" s="206"/>
      <c r="BA64" s="206"/>
      <c r="BB64" s="206"/>
      <c r="BC64" s="206"/>
      <c r="BD64" s="206"/>
      <c r="BE64" s="206"/>
      <c r="BF64" s="206"/>
      <c r="BG64" s="260"/>
      <c r="BH64" s="206"/>
      <c r="BI64" s="163"/>
      <c r="BJ64" s="163"/>
      <c r="BK64" s="264"/>
      <c r="BL64" s="270"/>
      <c r="BM64" s="264"/>
      <c r="BN64" s="265"/>
      <c r="BO64" s="249"/>
      <c r="BP64" s="169"/>
      <c r="BQ64" s="240"/>
      <c r="BR64" s="240"/>
      <c r="BS64" s="271"/>
      <c r="BT64" s="212"/>
      <c r="BU64" s="241"/>
      <c r="BV64" s="241"/>
      <c r="BW64" s="206"/>
      <c r="BX64" s="205"/>
      <c r="BY64" s="215"/>
      <c r="BZ64" s="215"/>
      <c r="CA64" s="215"/>
      <c r="CB64" s="214"/>
      <c r="CC64" s="163"/>
    </row>
    <row r="65" spans="2:103" ht="15" customHeight="1" x14ac:dyDescent="0.3">
      <c r="B65" s="393" t="str">
        <f>IF($H$23="Width",IF(H25&lt;V79,"The Width of this system exceeds the Design Constrain. Consider reducing the number of Rows or changing the Constraint.",""),IF(H25&lt;V77,"The Length of this system exceeds the Design Constraint. Consider increasing the number of rows or changing the constraint.",""))</f>
        <v/>
      </c>
      <c r="C65" s="394"/>
      <c r="D65" s="394"/>
      <c r="E65" s="394"/>
      <c r="F65" s="394"/>
      <c r="G65" s="394"/>
      <c r="H65" s="394"/>
      <c r="I65" s="394"/>
      <c r="J65" s="394"/>
      <c r="K65" s="394"/>
      <c r="L65" s="395"/>
      <c r="M65" s="15"/>
      <c r="N65" s="82"/>
      <c r="O65" s="317" t="str">
        <f>IF(H37&lt;4,            "NO LAYER",                "1st LAYER (bottom)")</f>
        <v>NO LAYER</v>
      </c>
      <c r="P65" s="317"/>
      <c r="Q65" s="317"/>
      <c r="R65" s="317"/>
      <c r="S65" s="317"/>
      <c r="T65" s="122"/>
      <c r="U65" s="122"/>
      <c r="V65" s="122"/>
      <c r="W65" s="122"/>
      <c r="X65" s="122"/>
      <c r="Y65" s="122"/>
      <c r="Z65" s="122"/>
      <c r="AA65" s="122"/>
      <c r="AB65" s="126"/>
      <c r="AC65" s="11"/>
      <c r="AD65" s="340"/>
      <c r="AE65" s="321"/>
      <c r="AF65" s="321"/>
      <c r="AG65" s="321"/>
      <c r="AH65" s="321"/>
      <c r="AI65" s="321"/>
      <c r="AJ65" s="321"/>
      <c r="AK65" s="321"/>
      <c r="AL65" s="321"/>
      <c r="AM65" s="321"/>
      <c r="AN65" s="321"/>
      <c r="AO65" s="321"/>
      <c r="AP65" s="321"/>
      <c r="AQ65" s="321"/>
      <c r="AR65" s="321"/>
      <c r="AS65" s="339"/>
      <c r="AT65" s="15"/>
      <c r="AU65" s="163"/>
      <c r="AV65" s="205"/>
      <c r="AW65" s="304"/>
      <c r="AX65" s="206" t="str">
        <f>IF($H$15="Imperial","Installed Length (in)","Installed Length (mm)")</f>
        <v>Installed Length (in)</v>
      </c>
      <c r="AY65" s="206">
        <f>IF($H$15="Imperial",         IF($H$19="SC-18",         96,          IF($H$19="SC-44",             82.25,            IF($H$19="SC-34E",             97,            95))),                        IF($H$19="SC-18",                        2438,                                    IF($H$19="SC-44",            2089,                  IF($H$19="SC-34E",              2464,                 2413))))</f>
        <v>97</v>
      </c>
      <c r="AZ65" s="206">
        <f>AY65+H55</f>
        <v>109</v>
      </c>
      <c r="BA65" s="206">
        <f>AY65+H55</f>
        <v>109</v>
      </c>
      <c r="BB65" s="206"/>
      <c r="BC65" s="206"/>
      <c r="BD65" s="206">
        <f>IF($H$15="Imperial",           IF($H$19="SC-18",             91.25,          IF($H$19="SC-44",         75,         IF($H$19="SC-34E",        91,       89))),          IF($H$19="SC-18",             2318,              IF($H$19="SC-44",       1905,         IF($H$19="SC-34E",       2311,          2261))))</f>
        <v>91</v>
      </c>
      <c r="BE65" s="206">
        <f>BD65</f>
        <v>91</v>
      </c>
      <c r="BF65" s="206">
        <f>BD65</f>
        <v>91</v>
      </c>
      <c r="BG65" s="260"/>
      <c r="BH65" s="206"/>
      <c r="BI65" s="163"/>
      <c r="BJ65" s="163"/>
      <c r="BK65" s="363" t="s">
        <v>92</v>
      </c>
      <c r="BL65" s="363"/>
      <c r="BM65" s="363"/>
      <c r="BN65" s="265">
        <f>(BG67*1728)/BE65</f>
        <v>2237.04</v>
      </c>
      <c r="BO65" s="249"/>
      <c r="BP65" s="163"/>
      <c r="BQ65" s="240"/>
      <c r="BR65" s="240"/>
      <c r="BS65" s="271" t="s">
        <v>135</v>
      </c>
      <c r="BT65" s="212">
        <f>IF(BW54=0,          BR54,        BV34)</f>
        <v>29</v>
      </c>
      <c r="BU65" s="241"/>
      <c r="BV65" s="241"/>
      <c r="BW65" s="206"/>
      <c r="BX65" s="205"/>
      <c r="BY65" s="215"/>
      <c r="BZ65" s="215"/>
      <c r="CA65" s="215"/>
      <c r="CB65" s="214"/>
      <c r="CC65" s="163"/>
      <c r="CF65" s="22"/>
      <c r="CG65" s="22"/>
      <c r="CH65" s="22"/>
      <c r="CI65" s="22"/>
      <c r="CJ65" s="22"/>
      <c r="CK65" s="22"/>
      <c r="CL65" s="22"/>
      <c r="CM65" s="22"/>
      <c r="CN65" s="22"/>
    </row>
    <row r="66" spans="2:103" ht="3.75" customHeight="1" x14ac:dyDescent="0.25">
      <c r="B66" s="393"/>
      <c r="C66" s="394"/>
      <c r="D66" s="394"/>
      <c r="E66" s="394"/>
      <c r="F66" s="394"/>
      <c r="G66" s="394"/>
      <c r="H66" s="394"/>
      <c r="I66" s="394"/>
      <c r="J66" s="394"/>
      <c r="K66" s="394"/>
      <c r="L66" s="395"/>
      <c r="M66" s="15"/>
      <c r="N66" s="70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6"/>
      <c r="AC66" s="15"/>
      <c r="AD66" s="340"/>
      <c r="AE66" s="321"/>
      <c r="AF66" s="321"/>
      <c r="AG66" s="321"/>
      <c r="AH66" s="321"/>
      <c r="AI66" s="321"/>
      <c r="AJ66" s="321"/>
      <c r="AK66" s="321"/>
      <c r="AL66" s="321"/>
      <c r="AM66" s="321"/>
      <c r="AN66" s="321"/>
      <c r="AO66" s="321"/>
      <c r="AP66" s="321"/>
      <c r="AQ66" s="321"/>
      <c r="AR66" s="321"/>
      <c r="AS66" s="339"/>
      <c r="AT66" s="15"/>
      <c r="AU66" s="163"/>
      <c r="AV66" s="205"/>
      <c r="AW66" s="304"/>
      <c r="AX66" s="206"/>
      <c r="AY66" s="206"/>
      <c r="AZ66" s="206"/>
      <c r="BA66" s="206"/>
      <c r="BB66" s="206"/>
      <c r="BC66" s="206"/>
      <c r="BD66" s="206"/>
      <c r="BE66" s="206"/>
      <c r="BF66" s="206"/>
      <c r="BG66" s="260"/>
      <c r="BH66" s="206"/>
      <c r="BI66" s="163"/>
      <c r="BJ66" s="163"/>
      <c r="BK66" s="264"/>
      <c r="BL66" s="270"/>
      <c r="BM66" s="264"/>
      <c r="BN66" s="265"/>
      <c r="BO66" s="249"/>
      <c r="BP66" s="163"/>
      <c r="BQ66" s="169"/>
      <c r="BR66" s="169"/>
      <c r="BS66" s="163"/>
      <c r="BT66" s="163"/>
      <c r="BU66" s="241"/>
      <c r="BV66" s="241"/>
      <c r="BW66" s="206"/>
      <c r="BX66" s="205"/>
      <c r="BY66" s="215"/>
      <c r="BZ66" s="215"/>
      <c r="CA66" s="215"/>
      <c r="CB66" s="214"/>
      <c r="CC66" s="163"/>
      <c r="CD66" s="15"/>
      <c r="CE66" s="15"/>
      <c r="CF66" s="22"/>
      <c r="CG66" s="22"/>
      <c r="CH66" s="22"/>
      <c r="CI66" s="22"/>
      <c r="CJ66" s="22"/>
      <c r="CK66" s="22"/>
      <c r="CL66" s="22"/>
      <c r="CM66" s="22"/>
      <c r="CN66" s="22"/>
    </row>
    <row r="67" spans="2:103" ht="15" customHeight="1" x14ac:dyDescent="0.25">
      <c r="B67" s="393"/>
      <c r="C67" s="394"/>
      <c r="D67" s="394"/>
      <c r="E67" s="394"/>
      <c r="F67" s="394"/>
      <c r="G67" s="394"/>
      <c r="H67" s="394"/>
      <c r="I67" s="394"/>
      <c r="J67" s="394"/>
      <c r="K67" s="394"/>
      <c r="L67" s="395"/>
      <c r="M67" s="15"/>
      <c r="N67" s="82"/>
      <c r="O67" s="127" t="s">
        <v>89</v>
      </c>
      <c r="P67" s="184">
        <f>IF(H37&lt;4,        0,           BO193)</f>
        <v>0</v>
      </c>
      <c r="Q67" s="128" t="str">
        <f>IF(H$15="Imperial",    "ft",       "m")</f>
        <v>ft</v>
      </c>
      <c r="R67" s="318" t="s">
        <v>15</v>
      </c>
      <c r="S67" s="318"/>
      <c r="T67" s="121"/>
      <c r="U67" s="121">
        <f>BO189</f>
        <v>0</v>
      </c>
      <c r="V67" s="121" t="s">
        <v>16</v>
      </c>
      <c r="W67" s="121"/>
      <c r="X67" s="121">
        <f>BO190</f>
        <v>0</v>
      </c>
      <c r="Y67" s="121" t="s">
        <v>17</v>
      </c>
      <c r="Z67" s="121"/>
      <c r="AA67" s="121"/>
      <c r="AB67" s="126"/>
      <c r="AC67" s="11"/>
      <c r="AD67" s="340"/>
      <c r="AE67" s="321"/>
      <c r="AF67" s="321"/>
      <c r="AG67" s="321"/>
      <c r="AH67" s="321"/>
      <c r="AI67" s="321"/>
      <c r="AJ67" s="321"/>
      <c r="AK67" s="321"/>
      <c r="AL67" s="321"/>
      <c r="AM67" s="321"/>
      <c r="AN67" s="321"/>
      <c r="AO67" s="321"/>
      <c r="AP67" s="321"/>
      <c r="AQ67" s="321"/>
      <c r="AR67" s="321"/>
      <c r="AS67" s="339"/>
      <c r="AT67" s="15"/>
      <c r="AU67" s="163"/>
      <c r="AV67" s="205"/>
      <c r="AW67" s="304"/>
      <c r="AX67" s="206" t="str">
        <f>IF($H$15="Imperial","Storage Volume (ft²)","Storage Volume (m²)")</f>
        <v>Storage Volume (ft²)</v>
      </c>
      <c r="AY67" s="206">
        <f>IF($H$15="Imperial",             IF($H$19="SC-18",             22.47,          IF(H19="SC-44",       103.1,           IF(H19="SC-34E",        77.6,         74.53))),                      IF($H$19="SC-18",             0.64,                                   IF(H19="SC-44",         2.92,         IF(H19="SC-34E",        2.2,          2.11))))</f>
        <v>77.599999999999994</v>
      </c>
      <c r="AZ67" s="206">
        <f>IF($H$15="Imperial",               ((((AZ61*AZ63*AZ65)/1728)-AY67)*($H$33/100)),                         ((((AZ61*AZ63*AZ65)/1000000000)-AY67)*($H$33/100)))</f>
        <v>57.749583333333341</v>
      </c>
      <c r="BA67" s="206">
        <f>IF($H$15="Imperial",                 ((((BA61*BA63*BA65)/1728)-AY67)*($H$33/100)),           ((((BA61*BA63*BA65)/1000000000)-AY67)*($H$33/100)))</f>
        <v>49.044722222222219</v>
      </c>
      <c r="BB67" s="206">
        <f>AY67+AZ67</f>
        <v>135.34958333333333</v>
      </c>
      <c r="BC67" s="206">
        <f>AY67+BA67</f>
        <v>126.64472222222221</v>
      </c>
      <c r="BD67" s="206">
        <f>IF($H$15="Imperial",        IF($H$19="SC-18",             21.36,            IF(H19="SC-44",         94.02,         IF(H19="SC-34E",         72.8,         69.83))),              IF($H$19="SC-18",             0.6,               IF(H19="SC-44",        2.66,        IF(H19="SC-34E",        2.06,         1.98))))</f>
        <v>72.8</v>
      </c>
      <c r="BE67" s="206">
        <f>IF($H$15="Imperial",                             ((((BE61*BE63*BE65)/1728)-BD67)*($H$33/100)),            ((((BE61*BE63*BE65)/1000000000)-BD67)*($H$33/100)))</f>
        <v>45.007083333333341</v>
      </c>
      <c r="BF67" s="206">
        <f>IF($H$15="Imperial",                  ((((BF61*BF63*BF65)/1728)-BD67)*($H$33/100)),                       ((((BF61*BF63*BF65)/1000000000)-BD67)*($H$33/100)))</f>
        <v>37.73972222222222</v>
      </c>
      <c r="BG67" s="206">
        <f>BD67+BE67</f>
        <v>117.80708333333334</v>
      </c>
      <c r="BH67" s="206">
        <f>BD67+BF67</f>
        <v>110.53972222222222</v>
      </c>
      <c r="BI67" s="163"/>
      <c r="BJ67" s="163"/>
      <c r="BK67" s="363" t="s">
        <v>95</v>
      </c>
      <c r="BL67" s="363"/>
      <c r="BM67" s="363"/>
      <c r="BN67" s="248">
        <f>(BG67*1728)/BE63</f>
        <v>2661.0541176470592</v>
      </c>
      <c r="BO67" s="248"/>
      <c r="BP67" s="163"/>
      <c r="BQ67" s="169"/>
      <c r="BR67" s="169"/>
      <c r="BS67" s="163"/>
      <c r="BT67" s="163"/>
      <c r="BU67" s="241"/>
      <c r="BV67" s="241"/>
      <c r="BW67" s="206"/>
      <c r="BX67" s="205"/>
      <c r="BY67" s="215"/>
      <c r="BZ67" s="215"/>
      <c r="CA67" s="215"/>
      <c r="CB67" s="214"/>
      <c r="CC67" s="163"/>
      <c r="CD67" s="15"/>
      <c r="CE67" s="15"/>
      <c r="CF67" s="22"/>
      <c r="CG67" s="22"/>
      <c r="CH67" s="22"/>
      <c r="CI67" s="22"/>
      <c r="CJ67" s="22"/>
      <c r="CK67" s="22"/>
      <c r="CL67" s="22"/>
      <c r="CM67" s="22"/>
      <c r="CN67" s="22"/>
    </row>
    <row r="68" spans="2:103" ht="3.75" customHeight="1" x14ac:dyDescent="0.25">
      <c r="B68" s="393" t="str">
        <f>IF(AND(H37&gt;1,H15="Imperial",H39&lt;12),                            "The Space Between Layers should be at least 12 Inches",                                                                                                                                                                                               IF(AND(H37&gt;1,H15="Metric",H39&lt;300),                                   "The Space Between Layers should be at least 300mm",                                                                                                                                                                            IF(AND(H23="Width", H41&gt;H43),            "The Input Number of Rows Exceeds the Maximum Suggested Number of Rows.",                                                                                                                                                      IF(AND(H23="Length", H41&lt;H43),               "The Input Number of Rows is Less than the Minimum Suggested Number of Rows",                                                                                                                                                                                                                        IF(AND(H15="Imperial", H19="SC-18",H45&lt;6),         "The Space Between Rows should be at least 6 inches",                                                                                                                                                                                                                  IF(AND(H15="Metric", H19="SC-18", H45&lt;150),                "The Space between Rows should be at least 150mm",                                                                                                                                   IF(AND(H15="Imperial", NOT(H19="SC-18"), H45&lt;9),         "The Space Between Rows should be at least 9 inches",                                                                                                                                                                                                                  IF(AND(H15="Metric", NOT(H19="SC-18"), H45&lt;225),                "The Space between Rows should be at least 225mm",          ""))))))))</f>
        <v/>
      </c>
      <c r="C68" s="394"/>
      <c r="D68" s="394"/>
      <c r="E68" s="394"/>
      <c r="F68" s="394"/>
      <c r="G68" s="394"/>
      <c r="H68" s="394"/>
      <c r="I68" s="394"/>
      <c r="J68" s="394"/>
      <c r="K68" s="394"/>
      <c r="L68" s="395"/>
      <c r="M68" s="15"/>
      <c r="N68" s="70"/>
      <c r="O68" s="121"/>
      <c r="P68" s="121"/>
      <c r="Q68" s="128"/>
      <c r="R68" s="121"/>
      <c r="S68" s="123"/>
      <c r="T68" s="121"/>
      <c r="U68" s="121"/>
      <c r="V68" s="121"/>
      <c r="W68" s="121"/>
      <c r="X68" s="121"/>
      <c r="Y68" s="121"/>
      <c r="Z68" s="121"/>
      <c r="AA68" s="121"/>
      <c r="AB68" s="126"/>
      <c r="AC68" s="15"/>
      <c r="AD68" s="340"/>
      <c r="AE68" s="321"/>
      <c r="AF68" s="321"/>
      <c r="AG68" s="321"/>
      <c r="AH68" s="321"/>
      <c r="AI68" s="321"/>
      <c r="AJ68" s="321"/>
      <c r="AK68" s="321"/>
      <c r="AL68" s="321"/>
      <c r="AM68" s="321"/>
      <c r="AN68" s="321"/>
      <c r="AO68" s="321"/>
      <c r="AP68" s="321"/>
      <c r="AQ68" s="321"/>
      <c r="AR68" s="321"/>
      <c r="AS68" s="339"/>
      <c r="AT68" s="15"/>
      <c r="AU68" s="163"/>
      <c r="AV68" s="205"/>
      <c r="AW68" s="304"/>
      <c r="AX68" s="206"/>
      <c r="AY68" s="206"/>
      <c r="AZ68" s="206"/>
      <c r="BA68" s="206"/>
      <c r="BB68" s="206"/>
      <c r="BC68" s="206"/>
      <c r="BD68" s="206"/>
      <c r="BE68" s="206"/>
      <c r="BF68" s="206"/>
      <c r="BG68" s="206"/>
      <c r="BH68" s="206"/>
      <c r="BI68" s="163"/>
      <c r="BJ68" s="163"/>
      <c r="BK68" s="264"/>
      <c r="BL68" s="270"/>
      <c r="BM68" s="264"/>
      <c r="BN68" s="265"/>
      <c r="BO68" s="249"/>
      <c r="BP68" s="163"/>
      <c r="BQ68" s="163"/>
      <c r="BR68" s="163"/>
      <c r="BS68" s="163"/>
      <c r="BT68" s="163"/>
      <c r="BU68" s="241"/>
      <c r="BV68" s="241"/>
      <c r="BW68" s="206"/>
      <c r="BX68" s="205"/>
      <c r="BY68" s="215"/>
      <c r="BZ68" s="215"/>
      <c r="CA68" s="215"/>
      <c r="CB68" s="163"/>
      <c r="CC68" s="215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7"/>
      <c r="CO68" s="15"/>
      <c r="CP68" s="15"/>
      <c r="CQ68" s="15"/>
    </row>
    <row r="69" spans="2:103" ht="15" customHeight="1" x14ac:dyDescent="0.25">
      <c r="B69" s="393"/>
      <c r="C69" s="394"/>
      <c r="D69" s="394"/>
      <c r="E69" s="394"/>
      <c r="F69" s="394"/>
      <c r="G69" s="394"/>
      <c r="H69" s="394"/>
      <c r="I69" s="394"/>
      <c r="J69" s="394"/>
      <c r="K69" s="394"/>
      <c r="L69" s="395"/>
      <c r="M69" s="15"/>
      <c r="N69" s="82"/>
      <c r="O69" s="130" t="s">
        <v>87</v>
      </c>
      <c r="P69" s="131">
        <f>IF(H37&lt;4,            0,            BO194)</f>
        <v>0</v>
      </c>
      <c r="Q69" s="125" t="str">
        <f>IF(H$15="Imperial",    "ft",       "m")</f>
        <v>ft</v>
      </c>
      <c r="R69" s="319" t="s">
        <v>205</v>
      </c>
      <c r="S69" s="319"/>
      <c r="T69" s="319"/>
      <c r="U69" s="319"/>
      <c r="V69" s="319"/>
      <c r="W69" s="319"/>
      <c r="X69" s="319"/>
      <c r="Y69" s="319"/>
      <c r="Z69" s="319"/>
      <c r="AA69" s="319"/>
      <c r="AB69" s="320"/>
      <c r="AC69" s="15"/>
      <c r="AD69" s="340"/>
      <c r="AE69" s="321"/>
      <c r="AF69" s="321"/>
      <c r="AG69" s="321"/>
      <c r="AH69" s="321"/>
      <c r="AI69" s="321"/>
      <c r="AJ69" s="321"/>
      <c r="AK69" s="321"/>
      <c r="AL69" s="321"/>
      <c r="AM69" s="321"/>
      <c r="AN69" s="321"/>
      <c r="AO69" s="321"/>
      <c r="AP69" s="321"/>
      <c r="AQ69" s="321"/>
      <c r="AR69" s="321"/>
      <c r="AS69" s="339"/>
      <c r="AT69" s="15"/>
      <c r="AU69" s="163"/>
      <c r="AV69" s="205"/>
      <c r="AW69" s="358" t="s">
        <v>66</v>
      </c>
      <c r="AX69" s="358"/>
      <c r="AY69" s="358"/>
      <c r="AZ69" s="273">
        <f>AZ63*AZ61*AZ65</f>
        <v>383571</v>
      </c>
      <c r="BA69" s="273">
        <f>BA63*BA61*BA65</f>
        <v>345966</v>
      </c>
      <c r="BB69" s="274">
        <f>IF(H15="Imperial",           (BB67*1728)/AZ69,           (BB67*1000000000)/AZ69)</f>
        <v>0.60975433492104458</v>
      </c>
      <c r="BC69" s="274">
        <f>IF(H15="Imperial",             (BC67*1728)/BA69,          (BC67*1000000000)/BA69)</f>
        <v>0.63255371915159286</v>
      </c>
      <c r="BD69" s="206"/>
      <c r="BE69" s="273">
        <f>BE61*BE63*BE65</f>
        <v>320229</v>
      </c>
      <c r="BF69" s="273">
        <f>BF61*BF63*BF65</f>
        <v>288834</v>
      </c>
      <c r="BG69" s="206">
        <f>IF(H15="Imperial",          (BG67*1728)/BE69,         (BG67*1000000000)/BE69)</f>
        <v>0.63570332480818414</v>
      </c>
      <c r="BH69" s="206">
        <f>IF(H15="Imperial",       (BH67*1728)/BF69,         (BH67*1000000000)/BF69)</f>
        <v>0.66132325141776938</v>
      </c>
      <c r="BI69" s="163"/>
      <c r="BJ69" s="163"/>
      <c r="BK69" s="363" t="s">
        <v>96</v>
      </c>
      <c r="BL69" s="363"/>
      <c r="BM69" s="363"/>
      <c r="BN69" s="265">
        <f>(BH67*1728)/BF65</f>
        <v>2099.04</v>
      </c>
      <c r="BO69" s="249"/>
      <c r="BP69" s="163"/>
      <c r="BQ69" s="163"/>
      <c r="BR69" s="163"/>
      <c r="BS69" s="163"/>
      <c r="BT69" s="163"/>
      <c r="BU69" s="241"/>
      <c r="BV69" s="241"/>
      <c r="BW69" s="206"/>
      <c r="BX69" s="205"/>
      <c r="BY69" s="215"/>
      <c r="BZ69" s="215"/>
      <c r="CA69" s="215"/>
      <c r="CB69" s="163"/>
      <c r="CC69" s="215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7"/>
      <c r="CO69" s="15"/>
      <c r="CP69" s="15"/>
      <c r="CQ69" s="15"/>
    </row>
    <row r="70" spans="2:103" ht="3.75" customHeight="1" x14ac:dyDescent="0.25">
      <c r="B70" s="393" t="str">
        <f>IF(H47&lt;H49,"The Input Number of SedimenTraps does not match the Suggested Number of SedimenTraps. Not using the suggested number could result in Calculation Errors.",                                     IF(OR(AND(H41=V25, H41=2,  (H17+(BD13/2))&lt;=V19),  AND(H41=V25,  (H17+BH15)&lt;=V19)),       "The system storage is considerably more than the Required storage. Consider reducung the number of rows",          ""))</f>
        <v/>
      </c>
      <c r="C70" s="394"/>
      <c r="D70" s="394"/>
      <c r="E70" s="394"/>
      <c r="F70" s="394"/>
      <c r="G70" s="394"/>
      <c r="H70" s="394"/>
      <c r="I70" s="394"/>
      <c r="J70" s="394"/>
      <c r="K70" s="394"/>
      <c r="L70" s="395"/>
      <c r="M70" s="15"/>
      <c r="N70" s="70"/>
      <c r="O70" s="127"/>
      <c r="P70" s="184"/>
      <c r="Q70" s="128"/>
      <c r="R70" s="133"/>
      <c r="S70" s="121"/>
      <c r="T70" s="121"/>
      <c r="U70" s="121"/>
      <c r="V70" s="121"/>
      <c r="W70" s="121"/>
      <c r="X70" s="121"/>
      <c r="Y70" s="121"/>
      <c r="Z70" s="121"/>
      <c r="AA70" s="121"/>
      <c r="AB70" s="134"/>
      <c r="AC70" s="15"/>
      <c r="AD70" s="340"/>
      <c r="AE70" s="321"/>
      <c r="AF70" s="321"/>
      <c r="AG70" s="321"/>
      <c r="AH70" s="321"/>
      <c r="AI70" s="321"/>
      <c r="AJ70" s="321"/>
      <c r="AK70" s="321"/>
      <c r="AL70" s="321"/>
      <c r="AM70" s="321"/>
      <c r="AN70" s="321"/>
      <c r="AO70" s="321"/>
      <c r="AP70" s="321"/>
      <c r="AQ70" s="321"/>
      <c r="AR70" s="321"/>
      <c r="AS70" s="339"/>
      <c r="AT70" s="15"/>
      <c r="AU70" s="163"/>
      <c r="AV70" s="205"/>
      <c r="AW70" s="206"/>
      <c r="AX70" s="206"/>
      <c r="AY70" s="206"/>
      <c r="AZ70" s="206"/>
      <c r="BA70" s="275"/>
      <c r="BB70" s="238"/>
      <c r="BC70" s="206"/>
      <c r="BD70" s="206"/>
      <c r="BE70" s="206"/>
      <c r="BF70" s="206"/>
      <c r="BG70" s="206"/>
      <c r="BH70" s="206"/>
      <c r="BI70" s="163"/>
      <c r="BJ70" s="163"/>
      <c r="BK70" s="163"/>
      <c r="BL70" s="163"/>
      <c r="BM70" s="163"/>
      <c r="BN70" s="163"/>
      <c r="BO70" s="242"/>
      <c r="BP70" s="163"/>
      <c r="BQ70" s="163"/>
      <c r="BR70" s="163"/>
      <c r="BS70" s="163"/>
      <c r="BT70" s="163"/>
      <c r="BU70" s="163"/>
      <c r="BV70" s="163"/>
      <c r="BW70" s="163"/>
      <c r="BX70" s="163"/>
      <c r="BY70" s="163"/>
      <c r="BZ70" s="163"/>
      <c r="CA70" s="163"/>
      <c r="CB70" s="163"/>
      <c r="CC70" s="220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7"/>
      <c r="CO70" s="15"/>
      <c r="CP70" s="15"/>
      <c r="CQ70" s="15"/>
    </row>
    <row r="71" spans="2:103" ht="15" customHeight="1" x14ac:dyDescent="0.25">
      <c r="B71" s="393"/>
      <c r="C71" s="394"/>
      <c r="D71" s="394"/>
      <c r="E71" s="394"/>
      <c r="F71" s="394"/>
      <c r="G71" s="394"/>
      <c r="H71" s="394"/>
      <c r="I71" s="394"/>
      <c r="J71" s="394"/>
      <c r="K71" s="394"/>
      <c r="L71" s="395"/>
      <c r="M71" s="15"/>
      <c r="N71" s="82"/>
      <c r="O71" s="132" t="s">
        <v>88</v>
      </c>
      <c r="P71" s="137">
        <f>IF(H37&lt;4,              0,               IF(H15="Imperial",     (AY99+H29+(H39/2))/12,            (AY99+H29+(H39/2))/1000))</f>
        <v>0</v>
      </c>
      <c r="Q71" s="138" t="str">
        <f>IF(H$15="Imperial",    "ft",       "m")</f>
        <v>ft</v>
      </c>
      <c r="R71" s="324" t="s">
        <v>157</v>
      </c>
      <c r="S71" s="324"/>
      <c r="T71" s="324"/>
      <c r="U71" s="324"/>
      <c r="V71" s="327">
        <f>BO192</f>
        <v>0</v>
      </c>
      <c r="W71" s="327"/>
      <c r="X71" s="327"/>
      <c r="Y71" s="139" t="str">
        <f>IF(H27="Imperial",        "Cubic Feet",        "Cubic Meters")</f>
        <v>Cubic Meters</v>
      </c>
      <c r="Z71" s="139"/>
      <c r="AA71" s="139"/>
      <c r="AB71" s="134"/>
      <c r="AC71" s="15"/>
      <c r="AD71" s="340"/>
      <c r="AE71" s="321"/>
      <c r="AF71" s="321"/>
      <c r="AG71" s="321"/>
      <c r="AH71" s="321"/>
      <c r="AI71" s="321"/>
      <c r="AJ71" s="321"/>
      <c r="AK71" s="321"/>
      <c r="AL71" s="321"/>
      <c r="AM71" s="321"/>
      <c r="AN71" s="321"/>
      <c r="AO71" s="321"/>
      <c r="AP71" s="321"/>
      <c r="AQ71" s="321"/>
      <c r="AR71" s="321"/>
      <c r="AS71" s="339"/>
      <c r="AT71" s="15"/>
      <c r="AU71" s="163"/>
      <c r="AV71" s="205"/>
      <c r="AW71" s="310" t="str">
        <f>IF($H$37=2,"Bottom Layer","")</f>
        <v/>
      </c>
      <c r="AX71" s="310"/>
      <c r="AY71" s="310" t="s">
        <v>25</v>
      </c>
      <c r="AZ71" s="310"/>
      <c r="BA71" s="310"/>
      <c r="BB71" s="310"/>
      <c r="BC71" s="310"/>
      <c r="BD71" s="310" t="s">
        <v>24</v>
      </c>
      <c r="BE71" s="310"/>
      <c r="BF71" s="310"/>
      <c r="BG71" s="310"/>
      <c r="BH71" s="310"/>
      <c r="BI71" s="163"/>
      <c r="BJ71" s="163"/>
      <c r="BK71" s="363" t="s">
        <v>97</v>
      </c>
      <c r="BL71" s="363"/>
      <c r="BM71" s="363"/>
      <c r="BN71" s="248">
        <f>(BH67*1728)/BF63</f>
        <v>2768.2991304347829</v>
      </c>
      <c r="BO71" s="242"/>
      <c r="BP71" s="163"/>
      <c r="BQ71" s="163"/>
      <c r="BR71" s="163"/>
      <c r="BS71" s="163"/>
      <c r="BT71" s="163"/>
      <c r="BU71" s="163"/>
      <c r="BV71" s="163"/>
      <c r="BW71" s="163"/>
      <c r="BX71" s="163"/>
      <c r="BY71" s="163"/>
      <c r="BZ71" s="163"/>
      <c r="CA71" s="163"/>
      <c r="CB71" s="163"/>
      <c r="CC71" s="235"/>
      <c r="CD71" s="8"/>
      <c r="CE71" s="40"/>
      <c r="CF71" s="8"/>
      <c r="CG71" s="8"/>
      <c r="CH71" s="8"/>
      <c r="CI71" s="8"/>
      <c r="CJ71" s="8"/>
      <c r="CK71" s="8"/>
      <c r="CL71" s="8"/>
      <c r="CM71" s="8"/>
      <c r="CN71" s="7"/>
      <c r="CO71" s="15"/>
      <c r="CP71" s="15"/>
      <c r="CQ71" s="15"/>
    </row>
    <row r="72" spans="2:103" ht="3.75" customHeight="1" x14ac:dyDescent="0.25">
      <c r="B72" s="393"/>
      <c r="C72" s="394"/>
      <c r="D72" s="394"/>
      <c r="E72" s="394"/>
      <c r="F72" s="394"/>
      <c r="G72" s="394"/>
      <c r="H72" s="394"/>
      <c r="I72" s="394"/>
      <c r="J72" s="394"/>
      <c r="K72" s="394"/>
      <c r="L72" s="395"/>
      <c r="M72" s="15"/>
      <c r="N72" s="8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34"/>
      <c r="AC72" s="15"/>
      <c r="AD72" s="340"/>
      <c r="AE72" s="321"/>
      <c r="AF72" s="321"/>
      <c r="AG72" s="321"/>
      <c r="AH72" s="321"/>
      <c r="AI72" s="321"/>
      <c r="AJ72" s="321"/>
      <c r="AK72" s="321"/>
      <c r="AL72" s="321"/>
      <c r="AM72" s="321"/>
      <c r="AN72" s="321"/>
      <c r="AO72" s="321"/>
      <c r="AP72" s="321"/>
      <c r="AQ72" s="321"/>
      <c r="AR72" s="321"/>
      <c r="AS72" s="339"/>
      <c r="AT72" s="15"/>
      <c r="AU72" s="163"/>
      <c r="AV72" s="163"/>
      <c r="AW72" s="272"/>
      <c r="AX72" s="272"/>
      <c r="AY72" s="303" t="s">
        <v>8</v>
      </c>
      <c r="AZ72" s="302" t="s">
        <v>20</v>
      </c>
      <c r="BA72" s="302" t="s">
        <v>22</v>
      </c>
      <c r="BB72" s="302" t="s">
        <v>21</v>
      </c>
      <c r="BC72" s="302" t="s">
        <v>23</v>
      </c>
      <c r="BD72" s="303" t="s">
        <v>8</v>
      </c>
      <c r="BE72" s="302" t="s">
        <v>20</v>
      </c>
      <c r="BF72" s="302" t="s">
        <v>22</v>
      </c>
      <c r="BG72" s="302" t="s">
        <v>21</v>
      </c>
      <c r="BH72" s="302" t="s">
        <v>23</v>
      </c>
      <c r="BI72" s="163"/>
      <c r="BJ72" s="163"/>
      <c r="BK72" s="264"/>
      <c r="BL72" s="264"/>
      <c r="BM72" s="264"/>
      <c r="BN72" s="248"/>
      <c r="BO72" s="242"/>
      <c r="BP72" s="163"/>
      <c r="BQ72" s="163"/>
      <c r="BR72" s="163"/>
      <c r="BS72" s="163"/>
      <c r="BT72" s="163"/>
      <c r="BU72" s="163"/>
      <c r="BV72" s="163"/>
      <c r="BW72" s="163"/>
      <c r="BX72" s="163"/>
      <c r="BY72" s="163"/>
      <c r="BZ72" s="163"/>
      <c r="CA72" s="163"/>
      <c r="CB72" s="163"/>
      <c r="CC72" s="235"/>
      <c r="CD72" s="8"/>
      <c r="CE72" s="40"/>
      <c r="CF72" s="8"/>
      <c r="CG72" s="8"/>
      <c r="CH72" s="8"/>
      <c r="CI72" s="8"/>
      <c r="CJ72" s="8"/>
      <c r="CK72" s="8"/>
      <c r="CL72" s="8"/>
      <c r="CM72" s="8"/>
      <c r="CN72" s="3"/>
      <c r="CO72" s="4"/>
      <c r="CP72" s="15"/>
      <c r="CQ72" s="15"/>
      <c r="CR72" s="15"/>
      <c r="CS72" s="22"/>
      <c r="CT72" s="22"/>
    </row>
    <row r="73" spans="2:103" ht="17.25" customHeight="1" x14ac:dyDescent="0.25">
      <c r="B73" s="393"/>
      <c r="C73" s="394"/>
      <c r="D73" s="394"/>
      <c r="E73" s="394"/>
      <c r="F73" s="394"/>
      <c r="G73" s="394"/>
      <c r="H73" s="394"/>
      <c r="I73" s="394"/>
      <c r="J73" s="394"/>
      <c r="K73" s="394"/>
      <c r="L73" s="395"/>
      <c r="M73" s="15"/>
      <c r="N73" s="82"/>
      <c r="O73" s="122"/>
      <c r="P73" s="122"/>
      <c r="Q73" s="122"/>
      <c r="R73" s="325" t="s">
        <v>195</v>
      </c>
      <c r="S73" s="325"/>
      <c r="T73" s="325"/>
      <c r="U73" s="325"/>
      <c r="V73" s="328">
        <f>(U67*X67)</f>
        <v>0</v>
      </c>
      <c r="W73" s="328"/>
      <c r="X73" s="328"/>
      <c r="Y73" s="122"/>
      <c r="Z73" s="122"/>
      <c r="AA73" s="122"/>
      <c r="AB73" s="134"/>
      <c r="AC73" s="15"/>
      <c r="AD73" s="340"/>
      <c r="AE73" s="420"/>
      <c r="AF73" s="420"/>
      <c r="AG73" s="420"/>
      <c r="AH73" s="420"/>
      <c r="AI73" s="420"/>
      <c r="AJ73" s="420"/>
      <c r="AK73" s="321"/>
      <c r="AL73" s="321"/>
      <c r="AM73" s="321"/>
      <c r="AN73" s="321"/>
      <c r="AO73" s="321"/>
      <c r="AP73" s="321"/>
      <c r="AQ73" s="321"/>
      <c r="AR73" s="321"/>
      <c r="AS73" s="339"/>
      <c r="AT73" s="15"/>
      <c r="AU73" s="163"/>
      <c r="AV73" s="163"/>
      <c r="AW73" s="304" t="str">
        <f>IF($H$37&gt;1,$H$19,"")</f>
        <v/>
      </c>
      <c r="AX73" s="206"/>
      <c r="AY73" s="303"/>
      <c r="AZ73" s="302"/>
      <c r="BA73" s="302"/>
      <c r="BB73" s="302"/>
      <c r="BC73" s="302"/>
      <c r="BD73" s="303"/>
      <c r="BE73" s="302"/>
      <c r="BF73" s="302"/>
      <c r="BG73" s="302"/>
      <c r="BH73" s="302"/>
      <c r="BI73" s="163"/>
      <c r="BJ73" s="163"/>
      <c r="BK73" s="264"/>
      <c r="BL73" s="264"/>
      <c r="BM73" s="264"/>
      <c r="BN73" s="248"/>
      <c r="BO73" s="242"/>
      <c r="BP73" s="163"/>
      <c r="BQ73" s="163"/>
      <c r="BR73" s="163"/>
      <c r="BS73" s="163"/>
      <c r="BT73" s="163"/>
      <c r="BU73" s="163"/>
      <c r="BV73" s="163"/>
      <c r="BW73" s="163"/>
      <c r="BX73" s="163"/>
      <c r="BY73" s="163"/>
      <c r="BZ73" s="163"/>
      <c r="CA73" s="163"/>
      <c r="CB73" s="163"/>
      <c r="CC73" s="206"/>
      <c r="CD73" s="31"/>
      <c r="CE73" s="9"/>
      <c r="CF73" s="3"/>
      <c r="CG73" s="3"/>
      <c r="CH73" s="3"/>
      <c r="CI73" s="3"/>
      <c r="CJ73" s="3"/>
      <c r="CK73" s="3"/>
      <c r="CL73" s="3"/>
      <c r="CM73" s="3"/>
      <c r="CN73" s="3"/>
      <c r="CO73" s="4"/>
      <c r="CP73" s="15"/>
      <c r="CQ73" s="15"/>
      <c r="CR73" s="15"/>
      <c r="CS73" s="22"/>
      <c r="CT73" s="22"/>
    </row>
    <row r="74" spans="2:103" ht="3.75" customHeight="1" x14ac:dyDescent="0.25">
      <c r="B74" s="154"/>
      <c r="C74" s="155"/>
      <c r="D74" s="155"/>
      <c r="E74" s="155"/>
      <c r="F74" s="155"/>
      <c r="G74" s="155"/>
      <c r="H74" s="155"/>
      <c r="I74" s="155"/>
      <c r="J74" s="155"/>
      <c r="K74" s="155"/>
      <c r="L74" s="156"/>
      <c r="M74" s="15"/>
      <c r="N74" s="82"/>
      <c r="O74" s="122"/>
      <c r="P74" s="122"/>
      <c r="Q74" s="122"/>
      <c r="R74" s="128"/>
      <c r="S74" s="128"/>
      <c r="T74" s="128"/>
      <c r="U74" s="128"/>
      <c r="V74" s="184"/>
      <c r="W74" s="184"/>
      <c r="X74" s="184"/>
      <c r="Y74" s="122"/>
      <c r="Z74" s="122"/>
      <c r="AA74" s="122"/>
      <c r="AB74" s="126"/>
      <c r="AC74" s="15"/>
      <c r="AD74" s="340"/>
      <c r="AE74" s="420"/>
      <c r="AF74" s="420"/>
      <c r="AG74" s="420"/>
      <c r="AH74" s="420"/>
      <c r="AI74" s="420"/>
      <c r="AJ74" s="420"/>
      <c r="AK74" s="321"/>
      <c r="AL74" s="321"/>
      <c r="AM74" s="321"/>
      <c r="AN74" s="321"/>
      <c r="AO74" s="321"/>
      <c r="AP74" s="321"/>
      <c r="AQ74" s="321"/>
      <c r="AR74" s="321"/>
      <c r="AS74" s="339"/>
      <c r="AT74" s="15"/>
      <c r="AU74" s="163"/>
      <c r="AV74" s="163"/>
      <c r="AW74" s="304"/>
      <c r="AX74" s="206"/>
      <c r="AY74" s="303"/>
      <c r="AZ74" s="302"/>
      <c r="BA74" s="302"/>
      <c r="BB74" s="302"/>
      <c r="BC74" s="302"/>
      <c r="BD74" s="303"/>
      <c r="BE74" s="302"/>
      <c r="BF74" s="302"/>
      <c r="BG74" s="302"/>
      <c r="BH74" s="302"/>
      <c r="BI74" s="163"/>
      <c r="BJ74" s="163"/>
      <c r="BK74" s="264"/>
      <c r="BL74" s="264"/>
      <c r="BM74" s="264"/>
      <c r="BN74" s="248"/>
      <c r="BO74" s="242"/>
      <c r="BP74" s="163"/>
      <c r="BQ74" s="163"/>
      <c r="BR74" s="163"/>
      <c r="BS74" s="163"/>
      <c r="BT74" s="163"/>
      <c r="BU74" s="163"/>
      <c r="BV74" s="163"/>
      <c r="BW74" s="163"/>
      <c r="BX74" s="163"/>
      <c r="BY74" s="163"/>
      <c r="BZ74" s="163"/>
      <c r="CA74" s="163"/>
      <c r="CB74" s="163"/>
      <c r="CC74" s="206"/>
      <c r="CD74" s="31"/>
      <c r="CE74" s="9"/>
      <c r="CF74" s="3"/>
      <c r="CG74" s="3"/>
      <c r="CH74" s="3"/>
      <c r="CI74" s="3"/>
      <c r="CJ74" s="3"/>
      <c r="CK74" s="3"/>
      <c r="CL74" s="3"/>
      <c r="CM74" s="3"/>
      <c r="CN74" s="3"/>
      <c r="CO74" s="5"/>
      <c r="CP74" s="15"/>
      <c r="CQ74" s="15"/>
      <c r="CR74" s="15"/>
      <c r="CS74" s="22"/>
      <c r="CT74" s="22"/>
    </row>
    <row r="75" spans="2:103" ht="15.75" customHeight="1" x14ac:dyDescent="0.25">
      <c r="B75" s="421" t="str">
        <f>IF(H15="Imperial",      IF(H19="SC-44",   IF(H29&lt;9,"Stone Below Chambers should be 9 inches or more",    IF(H27&lt;12,   "Stone Above Chambers should be 12 inches or more",    IF(H27&gt;144,    "Stone Above Chambers should be 144 inches or less",   IF(H31&lt;22,   "Total Cover Over Chambers should be 22 inches or more",     IF(H31&gt;144,    "Total Cover Over Chambers should be 144 inches or less",  "" ))))),        IF(H29&lt;6,"Stone Below Chambers should be 6 inches or more",IF(H27&lt;6,"Stone Above Chambers should be 6 inches or more",   IF(H27&gt;192,"Stone Above Chambers should be  192 inches or less",    IF(H31&lt;18,"Total Cover Over Chambers should be 18 inches or more",    IF(H27&gt;192,"Total Cover Over Chambers should be less than 192 inches",  "" )))))),          IF(H19="SC-44",IF(H29&lt;225,"Stone Below Chambers should be more than 225 mm",IF(H27&lt;300,"Stone Above Chambers should be more than 300mm",IF(H27&gt;3660,"Stone Above Chambers should be 3660 mm or less",IF(H31&lt;450,"Total Cover Over Chambers should be 450 mm or more",IF(H27&gt;3660,"Total Cover Over Chambers should be 3660 mm or less",  ""))))),         IF(H29&lt;150,"Stone Below Chambers should be 150 mm or more",IF(H27&lt;150,"Stone Above Chambers should be 150 mm or more",IF(H27&gt;4880,"Stone Above Chambers should be 4880 mm or less",IF(H31&lt;450,"Total Cover Over Chambers should be 450 mm or more",IF(H27&gt;4880,"Total Cover Over Chambers should be 4880 mm or less",  "")))))))</f>
        <v/>
      </c>
      <c r="C75" s="422"/>
      <c r="D75" s="422"/>
      <c r="E75" s="422"/>
      <c r="F75" s="422"/>
      <c r="G75" s="422"/>
      <c r="H75" s="422"/>
      <c r="I75" s="422"/>
      <c r="J75" s="422"/>
      <c r="K75" s="422"/>
      <c r="L75" s="156"/>
      <c r="M75" s="15"/>
      <c r="N75" s="82"/>
      <c r="O75" s="135"/>
      <c r="P75" s="135"/>
      <c r="Q75" s="135"/>
      <c r="R75" s="135"/>
      <c r="S75" s="136"/>
      <c r="T75" s="135"/>
      <c r="U75" s="135"/>
      <c r="V75" s="135"/>
      <c r="W75" s="135"/>
      <c r="X75" s="135"/>
      <c r="Y75" s="135"/>
      <c r="Z75" s="135"/>
      <c r="AA75" s="135"/>
      <c r="AB75" s="126"/>
      <c r="AC75" s="15"/>
      <c r="AD75" s="340"/>
      <c r="AE75" s="321"/>
      <c r="AF75" s="321"/>
      <c r="AG75" s="321"/>
      <c r="AH75" s="321"/>
      <c r="AI75" s="321"/>
      <c r="AJ75" s="321"/>
      <c r="AK75" s="321"/>
      <c r="AL75" s="321"/>
      <c r="AM75" s="321"/>
      <c r="AN75" s="321"/>
      <c r="AO75" s="321"/>
      <c r="AP75" s="321"/>
      <c r="AQ75" s="321"/>
      <c r="AR75" s="321"/>
      <c r="AS75" s="339"/>
      <c r="AT75" s="15"/>
      <c r="AU75" s="163"/>
      <c r="AV75" s="163"/>
      <c r="AW75" s="304"/>
      <c r="AX75" s="206" t="str">
        <f>IF($H$15="Imperial","Height (in)","Height (mm)")</f>
        <v>Height (in)</v>
      </c>
      <c r="AY75" s="206">
        <f>IF($H$15="Imperial",            IF($H$19="SC-18",             18,          IF($H$19="SC-44",         44,          34)),           IF($H$19="SC-18",             457,             IF($H$19="SC-44",         1117,        864)))</f>
        <v>34</v>
      </c>
      <c r="AZ75" s="206">
        <f>IF($H$37=1,       0,       IF($H$37=2,        $AY$75+$H$29+($H$39/2),         $AY$75+$H$39))</f>
        <v>0</v>
      </c>
      <c r="BA75" s="206">
        <f>IF($H$37=1,       0,          IF($H$37=2,         $AY$75+$H$29+($H$39/2),          $AY$75+$H$39))</f>
        <v>0</v>
      </c>
      <c r="BB75" s="260"/>
      <c r="BC75" s="206"/>
      <c r="BD75" s="206">
        <f>IF($H$15="Imperial",          IF($H$19="SC-18",             18,           IF($H$19="SC-44",        44,         34)),               IF($H$19="SC-18",             457,              IF($H$19="SC-44",       1117,      864)))</f>
        <v>34</v>
      </c>
      <c r="BE75" s="206">
        <f>IF(H37=1,        0,         IF($H$37=2,         $BD$75+$H$29+($H$39/2),          $BD$75+$H$39))</f>
        <v>0</v>
      </c>
      <c r="BF75" s="206">
        <f>IF(H37=1,0,IF($H$37=2,$BD$75+$H$29+($H$39/2),$BD$75+$H$39))</f>
        <v>0</v>
      </c>
      <c r="BG75" s="260"/>
      <c r="BH75" s="206"/>
      <c r="BI75" s="163"/>
      <c r="BJ75" s="163"/>
      <c r="BK75" s="356" t="str">
        <f>IF($H$15="Imperial",            "Imperial (inches and ft)",         "Metric (mm and meters)")</f>
        <v>Imperial (inches and ft)</v>
      </c>
      <c r="BL75" s="356" t="str">
        <f>IF($H$23="Width",                "by system width",        "by system length")</f>
        <v>by system width</v>
      </c>
      <c r="BM75" s="356"/>
      <c r="BN75" s="356"/>
      <c r="BO75" s="356"/>
      <c r="BP75" s="163"/>
      <c r="BQ75" s="355" t="s">
        <v>47</v>
      </c>
      <c r="BR75" s="355"/>
      <c r="BS75" s="355"/>
      <c r="BT75" s="355"/>
      <c r="BU75" s="355"/>
      <c r="BV75" s="355"/>
      <c r="BW75" s="355"/>
      <c r="BX75" s="355"/>
      <c r="BY75" s="355"/>
      <c r="BZ75" s="305"/>
      <c r="CA75" s="305"/>
      <c r="CB75" s="163"/>
      <c r="CC75" s="235"/>
      <c r="CD75" s="8"/>
      <c r="CE75" s="8"/>
      <c r="CF75" s="8"/>
      <c r="CG75" s="8"/>
      <c r="CH75" s="8"/>
      <c r="CI75" s="8"/>
      <c r="CJ75" s="8"/>
      <c r="CK75" s="8"/>
      <c r="CL75" s="8"/>
      <c r="CM75" s="9"/>
      <c r="CN75" s="3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</row>
    <row r="76" spans="2:103" ht="3.75" customHeight="1" x14ac:dyDescent="0.25">
      <c r="B76" s="92"/>
      <c r="C76" s="93"/>
      <c r="D76" s="93"/>
      <c r="E76" s="93"/>
      <c r="F76" s="93"/>
      <c r="G76" s="93"/>
      <c r="H76" s="93"/>
      <c r="I76" s="93"/>
      <c r="J76" s="93"/>
      <c r="K76" s="93"/>
      <c r="L76" s="94"/>
      <c r="M76" s="15"/>
      <c r="N76" s="82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83"/>
      <c r="AC76" s="15"/>
      <c r="AD76" s="340"/>
      <c r="AE76" s="321"/>
      <c r="AF76" s="321"/>
      <c r="AG76" s="321"/>
      <c r="AH76" s="321"/>
      <c r="AI76" s="321"/>
      <c r="AJ76" s="321"/>
      <c r="AK76" s="321"/>
      <c r="AL76" s="321"/>
      <c r="AM76" s="321"/>
      <c r="AN76" s="321"/>
      <c r="AO76" s="321"/>
      <c r="AP76" s="321"/>
      <c r="AQ76" s="321"/>
      <c r="AR76" s="321"/>
      <c r="AS76" s="339"/>
      <c r="AT76" s="15"/>
      <c r="AU76" s="163"/>
      <c r="AV76" s="163"/>
      <c r="AW76" s="304"/>
      <c r="AX76" s="206"/>
      <c r="AY76" s="206"/>
      <c r="AZ76" s="206"/>
      <c r="BA76" s="206"/>
      <c r="BB76" s="260"/>
      <c r="BC76" s="206"/>
      <c r="BD76" s="206"/>
      <c r="BE76" s="206"/>
      <c r="BF76" s="206"/>
      <c r="BG76" s="260"/>
      <c r="BH76" s="206"/>
      <c r="BI76" s="163"/>
      <c r="BJ76" s="163"/>
      <c r="BK76" s="356"/>
      <c r="BL76" s="356"/>
      <c r="BM76" s="356"/>
      <c r="BN76" s="356"/>
      <c r="BO76" s="356"/>
      <c r="BP76" s="163"/>
      <c r="BQ76" s="355"/>
      <c r="BR76" s="355"/>
      <c r="BS76" s="355"/>
      <c r="BT76" s="355"/>
      <c r="BU76" s="355"/>
      <c r="BV76" s="355"/>
      <c r="BW76" s="355"/>
      <c r="BX76" s="355"/>
      <c r="BY76" s="355"/>
      <c r="BZ76" s="305"/>
      <c r="CA76" s="305"/>
      <c r="CB76" s="163"/>
      <c r="CC76" s="235"/>
      <c r="CD76" s="8"/>
      <c r="CE76" s="8"/>
      <c r="CF76" s="8"/>
      <c r="CG76" s="8"/>
      <c r="CH76" s="8"/>
      <c r="CI76" s="8"/>
      <c r="CJ76" s="8"/>
      <c r="CK76" s="8"/>
      <c r="CL76" s="8"/>
      <c r="CM76" s="195"/>
      <c r="CN76" s="3"/>
      <c r="CO76" s="15"/>
      <c r="CP76" s="4"/>
      <c r="CQ76" s="4"/>
      <c r="CR76" s="15"/>
      <c r="CS76" s="12"/>
      <c r="CT76" s="15"/>
      <c r="CU76" s="15"/>
      <c r="CV76" s="15"/>
      <c r="CW76" s="15"/>
      <c r="CX76" s="15"/>
      <c r="CY76" s="15"/>
    </row>
    <row r="77" spans="2:103" ht="15" customHeight="1" x14ac:dyDescent="0.25">
      <c r="B77" s="82"/>
      <c r="C77" s="44"/>
      <c r="D77" s="44"/>
      <c r="E77" s="44"/>
      <c r="F77" s="44"/>
      <c r="G77" s="44"/>
      <c r="H77" s="44"/>
      <c r="I77" s="44"/>
      <c r="J77" s="44"/>
      <c r="K77" s="44"/>
      <c r="L77" s="83"/>
      <c r="M77" s="15"/>
      <c r="N77" s="70"/>
      <c r="O77" s="44"/>
      <c r="P77" s="64"/>
      <c r="Q77" s="64"/>
      <c r="R77" s="64"/>
      <c r="S77" s="64"/>
      <c r="T77" s="63"/>
      <c r="U77" s="64" t="s">
        <v>201</v>
      </c>
      <c r="V77" s="326">
        <f>IF(H37=1,                      BO43,             IF(H37=3,                            IF(AND(BO43&gt;BO98,BO43&gt;BO153),            BO43,                  IF(AND(BO98&gt;BO153,BO98&gt;BO43),             BO98,                     BO153)),                        IF(H37=2,          IF(AND(BO45&gt;BO97,BO45&gt;BO154),             BO45,           IF(AND(BO97&gt;BO154,BO97&gt;BO45),             BO97,            BO154)),           IF(AND(BO45&gt;BO97,BO45&gt;BO154,BO45&gt;BO193),        BO45,         IF(AND(BO97&gt;BO45,BO97&gt;BO154,BO97&gt;BO193),         BO97,                  IF(AND(BO154&gt;BO45,BO154&gt;BO97,BO154&gt;BO193),       BO154,         BO193))))))</f>
        <v>222.91666666666666</v>
      </c>
      <c r="W77" s="326"/>
      <c r="X77" s="326"/>
      <c r="Y77" s="63" t="str">
        <f>IF(H15="Imperial",    "ft",       "m")</f>
        <v>ft</v>
      </c>
      <c r="Z77" s="69"/>
      <c r="AA77" s="69"/>
      <c r="AB77" s="60"/>
      <c r="AC77" s="15"/>
      <c r="AD77" s="298"/>
      <c r="AE77" s="300"/>
      <c r="AF77" s="300"/>
      <c r="AG77" s="300"/>
      <c r="AH77" s="300"/>
      <c r="AI77" s="300"/>
      <c r="AJ77" s="300"/>
      <c r="AK77" s="300"/>
      <c r="AL77" s="300"/>
      <c r="AM77" s="300"/>
      <c r="AN77" s="300"/>
      <c r="AO77" s="300"/>
      <c r="AP77" s="300"/>
      <c r="AQ77" s="300"/>
      <c r="AR77" s="300"/>
      <c r="AS77" s="296"/>
      <c r="AT77" s="15"/>
      <c r="AU77" s="163"/>
      <c r="AV77" s="163"/>
      <c r="AW77" s="304"/>
      <c r="AX77" s="206" t="str">
        <f>IF($H$15="Imperial","Width (in)","Width (mm)")</f>
        <v>Width (in)</v>
      </c>
      <c r="AY77" s="206">
        <f>IF($H$15="Imperial",          IF($H$19="SC-18",             38,          IF($H$19="SC-44",       78,       60)),        IF($H$19="SC-18",             965,           IF($H$19="SC-44",      1981,       1524)))</f>
        <v>60</v>
      </c>
      <c r="AZ77" s="206">
        <f>IF(H15="Imperial",                 AY77+($H$45/2)+(H55),              AY77+($H$45/2)+(H55))</f>
        <v>76.5</v>
      </c>
      <c r="BA77" s="206">
        <f>AY77+$H$45</f>
        <v>69</v>
      </c>
      <c r="BB77" s="260"/>
      <c r="BC77" s="206"/>
      <c r="BD77" s="206">
        <f>IF($H$15="Imperial",         IF($H$19="SC-18",             38,           IF($H$19="SC-44",       78,       60)),         IF($H$19="SC-18",             965,          IF($H$19="SC-44",      1981,       1524)))</f>
        <v>60</v>
      </c>
      <c r="BE77" s="206">
        <f>IF(H15="Imperial",               BD77+($H$45/2)+(H55),                BD77+($H$45/2)+(H55))</f>
        <v>76.5</v>
      </c>
      <c r="BF77" s="206">
        <f>BD77+$H$45</f>
        <v>69</v>
      </c>
      <c r="BG77" s="260"/>
      <c r="BH77" s="206"/>
      <c r="BI77" s="163"/>
      <c r="BJ77" s="163"/>
      <c r="BK77" s="302" t="s">
        <v>29</v>
      </c>
      <c r="BL77" s="353" t="s">
        <v>32</v>
      </c>
      <c r="BM77" s="302" t="s">
        <v>26</v>
      </c>
      <c r="BN77" s="302" t="s">
        <v>27</v>
      </c>
      <c r="BO77" s="302" t="s">
        <v>28</v>
      </c>
      <c r="BP77" s="163"/>
      <c r="BQ77" s="359" t="s">
        <v>119</v>
      </c>
      <c r="BR77" s="359"/>
      <c r="BS77" s="359"/>
      <c r="BT77" s="359"/>
      <c r="BU77" s="359"/>
      <c r="BV77" s="359"/>
      <c r="BW77" s="359"/>
      <c r="BX77" s="359"/>
      <c r="BY77" s="359"/>
      <c r="BZ77" s="305"/>
      <c r="CA77" s="305"/>
      <c r="CB77" s="163"/>
      <c r="CC77" s="206"/>
      <c r="CD77" s="9"/>
      <c r="CE77" s="9"/>
      <c r="CF77" s="9"/>
      <c r="CG77" s="9"/>
      <c r="CH77" s="9"/>
      <c r="CI77" s="8"/>
      <c r="CJ77" s="8"/>
      <c r="CK77" s="9"/>
      <c r="CL77" s="9"/>
      <c r="CM77" s="185"/>
      <c r="CN77" s="3"/>
      <c r="CO77" s="7"/>
      <c r="CP77" s="4"/>
      <c r="CQ77" s="4"/>
      <c r="CR77" s="15"/>
      <c r="CS77" s="24"/>
      <c r="CT77" s="24"/>
      <c r="CU77" s="24"/>
      <c r="CV77" s="12"/>
      <c r="CW77" s="12"/>
      <c r="CX77" s="15"/>
      <c r="CY77" s="15"/>
    </row>
    <row r="78" spans="2:103" ht="3" customHeight="1" x14ac:dyDescent="0.25">
      <c r="B78" s="82"/>
      <c r="C78" s="44"/>
      <c r="D78" s="44"/>
      <c r="E78" s="44"/>
      <c r="F78" s="44"/>
      <c r="G78" s="44"/>
      <c r="H78" s="44"/>
      <c r="I78" s="44"/>
      <c r="J78" s="44"/>
      <c r="K78" s="44"/>
      <c r="L78" s="83"/>
      <c r="M78" s="15"/>
      <c r="N78" s="82"/>
      <c r="O78" s="44"/>
      <c r="P78" s="44"/>
      <c r="Q78" s="44"/>
      <c r="R78" s="44"/>
      <c r="S78" s="44"/>
      <c r="T78" s="44"/>
      <c r="U78" s="44"/>
      <c r="V78" s="203"/>
      <c r="W78" s="203"/>
      <c r="X78" s="203"/>
      <c r="Y78" s="44"/>
      <c r="Z78" s="44"/>
      <c r="AA78" s="44"/>
      <c r="AB78" s="83"/>
      <c r="AC78" s="15"/>
      <c r="AD78" s="299"/>
      <c r="AE78" s="301"/>
      <c r="AF78" s="301"/>
      <c r="AG78" s="301"/>
      <c r="AH78" s="301"/>
      <c r="AI78" s="301"/>
      <c r="AJ78" s="301"/>
      <c r="AK78" s="301"/>
      <c r="AL78" s="301"/>
      <c r="AM78" s="301"/>
      <c r="AN78" s="301"/>
      <c r="AO78" s="301"/>
      <c r="AP78" s="301"/>
      <c r="AQ78" s="301"/>
      <c r="AR78" s="301"/>
      <c r="AS78" s="297"/>
      <c r="AT78" s="15"/>
      <c r="AU78" s="163"/>
      <c r="AV78" s="163"/>
      <c r="AW78" s="304"/>
      <c r="AX78" s="206"/>
      <c r="AY78" s="206"/>
      <c r="AZ78" s="206"/>
      <c r="BA78" s="206"/>
      <c r="BB78" s="260"/>
      <c r="BC78" s="206"/>
      <c r="BD78" s="206"/>
      <c r="BE78" s="206"/>
      <c r="BF78" s="206"/>
      <c r="BG78" s="260"/>
      <c r="BH78" s="206"/>
      <c r="BI78" s="163"/>
      <c r="BJ78" s="163"/>
      <c r="BK78" s="302"/>
      <c r="BL78" s="353"/>
      <c r="BM78" s="302"/>
      <c r="BN78" s="302"/>
      <c r="BO78" s="302"/>
      <c r="BP78" s="163"/>
      <c r="BQ78" s="359"/>
      <c r="BR78" s="359"/>
      <c r="BS78" s="359"/>
      <c r="BT78" s="359"/>
      <c r="BU78" s="359"/>
      <c r="BV78" s="359"/>
      <c r="BW78" s="359"/>
      <c r="BX78" s="359"/>
      <c r="BY78" s="359"/>
      <c r="BZ78" s="341" t="s">
        <v>98</v>
      </c>
      <c r="CA78" s="341" t="s">
        <v>99</v>
      </c>
      <c r="CB78" s="163"/>
      <c r="CC78" s="206"/>
      <c r="CD78" s="9"/>
      <c r="CE78" s="9"/>
      <c r="CF78" s="9"/>
      <c r="CG78" s="9"/>
      <c r="CH78" s="9"/>
      <c r="CI78" s="8"/>
      <c r="CJ78" s="8"/>
      <c r="CK78" s="9"/>
      <c r="CL78" s="9"/>
      <c r="CM78" s="195"/>
      <c r="CN78" s="3"/>
      <c r="CO78" s="7"/>
      <c r="CP78" s="5"/>
      <c r="CQ78" s="5"/>
      <c r="CR78" s="15"/>
      <c r="CS78" s="24"/>
      <c r="CT78" s="24"/>
      <c r="CU78" s="24"/>
      <c r="CV78" s="12"/>
      <c r="CW78" s="12"/>
      <c r="CX78" s="15"/>
      <c r="CY78" s="15"/>
    </row>
    <row r="79" spans="2:103" ht="17.25" customHeight="1" x14ac:dyDescent="0.25">
      <c r="B79" s="82"/>
      <c r="C79" s="44"/>
      <c r="D79" s="44"/>
      <c r="E79" s="44"/>
      <c r="F79" s="44"/>
      <c r="G79" s="44"/>
      <c r="H79" s="44"/>
      <c r="I79" s="44"/>
      <c r="J79" s="44"/>
      <c r="K79" s="44"/>
      <c r="L79" s="83"/>
      <c r="M79" s="15"/>
      <c r="N79" s="70"/>
      <c r="O79" s="188"/>
      <c r="P79" s="188"/>
      <c r="Q79" s="188"/>
      <c r="R79" s="188"/>
      <c r="S79" s="44"/>
      <c r="T79" s="63"/>
      <c r="U79" s="64" t="s">
        <v>202</v>
      </c>
      <c r="V79" s="326">
        <f>IF(H37=1,                 BO45,          IF(H37=3,                IF(AND(BO45&gt;BO97,BO45&gt;BO154),             BO45,                        IF(AND(BO97&gt;BO154,BO97&gt;BO45),           BO97,                    BO154)),                                                                                                IF(H37=2,       IF(AND(BO43&gt;BO98,BO43&gt;BO153),       BO43,        IF(AND(BO98&gt;BO153,BO98&gt;BO43),     BO98,     BO153)),            IF(AND(BO43&gt;BO98,BO43&gt;BO153,BO43&gt;BO194),        BO43,                            IF(AND(BO98&gt;BO153,BO98&gt;BO43,BO98&gt;BO194),       BO98,         IF(AND(BO153&gt;BO43,BO153&gt;BO98,BO153&gt;BO194),         BO153,         BO194))))))</f>
        <v>18.5</v>
      </c>
      <c r="W79" s="326"/>
      <c r="X79" s="326"/>
      <c r="Y79" s="63" t="str">
        <f>IF(H15="Imperial",    "ft",       "m")</f>
        <v>ft</v>
      </c>
      <c r="Z79" s="69"/>
      <c r="AA79" s="69"/>
      <c r="AB79" s="60"/>
      <c r="AC79" s="15"/>
      <c r="AD79" s="298"/>
      <c r="AE79" s="300"/>
      <c r="AF79" s="300"/>
      <c r="AG79" s="300"/>
      <c r="AH79" s="300"/>
      <c r="AI79" s="300"/>
      <c r="AJ79" s="300"/>
      <c r="AK79" s="300"/>
      <c r="AL79" s="300"/>
      <c r="AM79" s="300"/>
      <c r="AN79" s="300"/>
      <c r="AO79" s="300"/>
      <c r="AP79" s="300"/>
      <c r="AQ79" s="300"/>
      <c r="AR79" s="300"/>
      <c r="AS79" s="296"/>
      <c r="AT79" s="15"/>
      <c r="AU79" s="163"/>
      <c r="AV79" s="163"/>
      <c r="AW79" s="304"/>
      <c r="AX79" s="206" t="str">
        <f>IF($H$15="Imperial","Installed Length (in)","Installed Length (mm)")</f>
        <v>Installed Length (in)</v>
      </c>
      <c r="AY79" s="206">
        <f>IF($H$15="Imperial",        IF($H$19="SC-18",             96,          IF($H$19="SC-44",          82.25,          IF($H$19="SC-34E",        97,           95))),         IF($H$19="SC-18",             2438,           IF($H$19="SC-44",          2089,           IF($H$19="SC-34E",           2464,         2413))))</f>
        <v>97</v>
      </c>
      <c r="AZ79" s="206">
        <f>IF(H15="Imperial",                 AY79+(H55),                AY79+(H55))</f>
        <v>109</v>
      </c>
      <c r="BA79" s="206">
        <f>IF(H15="Imperial",            AY79+(H55),                 AY79+(H55))</f>
        <v>109</v>
      </c>
      <c r="BB79" s="260"/>
      <c r="BC79" s="206"/>
      <c r="BD79" s="206">
        <f>IF($H$15="Imperial",        IF($H$19="SC-18",             91.25,           IF($H$19="SC-44",        75,         IF($H$19="SC-34E",    91,       89))),                 IF($H$19="SC-18",             2318,           IF($H$19="SC-44",        1905,        IF($H$19="SC-34E",        2311,       2261))))</f>
        <v>91</v>
      </c>
      <c r="BE79" s="206">
        <f>BD79</f>
        <v>91</v>
      </c>
      <c r="BF79" s="206">
        <f>BD79</f>
        <v>91</v>
      </c>
      <c r="BG79" s="260"/>
      <c r="BH79" s="206"/>
      <c r="BI79" s="163"/>
      <c r="BJ79" s="163"/>
      <c r="BK79" s="302"/>
      <c r="BL79" s="242">
        <f>IF(BQ81=0,      0,            IF(BT114=0,       0,           IF(BT114=1,                 IF(BT118=1,       1,    2),                IF(BT114&lt;=BT113,            IF(BT118=1,       2,       4),                                                                    IF(BT115=1,          IF(BT118=1,            1,         IF(BT118=2,       3,     4)),       IF(BT118=1,          2,        4))))))</f>
        <v>0</v>
      </c>
      <c r="BM79" s="242">
        <f>IF(BL79=0,                 0,                   IF(BL79=1,                  AZ19+AZ21,                       IF(BL79=2,                       IF(BO92=1,                     BG19+BG21,                         BD19+BD21),                        IF(BL79=3,                                                    IF(H15="Imperial",                                                BD19+AZ19+(((AZ75*(AZ5+H55)*(H55-(H45/2)))/1728)*(H33/100))+(((AZ75*(AY77+H45)*H55)/1728)*(H33/100)),                                                                                                                   BD19+AZ19+(((AZ75*(AZ5+H55)*(H55-(H45/2)))/1000000000)*(H33/100))+(((AZ75*(AY77+H45)*H55)/1000000000)*(H33/100))),                       AZ81*4))))</f>
        <v>0</v>
      </c>
      <c r="BN79" s="242">
        <f>IF(BL79=0,           0,            IF(BL79=1,                 AZ7,                IF(BL79=2,               IF(BO92=1,             BD7,             BG7),          IF(BL79=3,         (2*AY81)+AZ7,             4*AY81))))</f>
        <v>0</v>
      </c>
      <c r="BO79" s="242">
        <f>BM79+BN79</f>
        <v>0</v>
      </c>
      <c r="BP79" s="163"/>
      <c r="BQ79" s="342" t="str">
        <f>IF($H$15="Imperial",       "Required Cubic Feet",       "Required Cubic Meters")</f>
        <v>Required Cubic Feet</v>
      </c>
      <c r="BR79" s="342" t="str">
        <f>IF($H$15="Imperial",       "Required Cubic Inches",       "Required Cubic mm")</f>
        <v>Required Cubic Inches</v>
      </c>
      <c r="BS79" s="342" t="str">
        <f>IF(BT2=1,       "Constraint Dimension (Width)",       "Constraint Dimension (Length)")</f>
        <v>Constraint Dimension (Length)</v>
      </c>
      <c r="BT79" s="342" t="str">
        <f>IF(BT2=1,       "(Constraint Width-2endR Width)/midR Width",       "(Constriant Length-2endC length)/midC length")</f>
        <v>(Constriant Length-2endC length)/midC length</v>
      </c>
      <c r="BU79" s="342"/>
      <c r="BV79" s="342" t="str">
        <f>IF(BT2=1,       "RoundDown for Maximum Number of midR",       "RoundDown for Maximum Number of midCs per Row")</f>
        <v>RoundDown for Maximum Number of midCs per Row</v>
      </c>
      <c r="BW79" s="342"/>
      <c r="BX79" s="342" t="str">
        <f>IF(BT2=1,       "Max suggested Number of Rows",      "Maximum Number of Chambers per Row")</f>
        <v>Maximum Number of Chambers per Row</v>
      </c>
      <c r="BY79" s="342"/>
      <c r="BZ79" s="341"/>
      <c r="CA79" s="341"/>
      <c r="CB79" s="163"/>
      <c r="CC79" s="235"/>
      <c r="CD79" s="8"/>
      <c r="CE79" s="8"/>
      <c r="CF79" s="8"/>
      <c r="CG79" s="8"/>
      <c r="CH79" s="8"/>
      <c r="CI79" s="8"/>
      <c r="CJ79" s="8"/>
      <c r="CK79" s="8"/>
      <c r="CL79" s="8"/>
      <c r="CM79" s="185"/>
      <c r="CN79" s="3"/>
      <c r="CO79" s="3"/>
      <c r="CP79" s="15"/>
      <c r="CQ79" s="15"/>
      <c r="CR79" s="12"/>
      <c r="CS79" s="15"/>
      <c r="CT79" s="22"/>
      <c r="CU79" s="22"/>
    </row>
    <row r="80" spans="2:103" ht="2.1" customHeight="1" x14ac:dyDescent="0.25">
      <c r="B80" s="82"/>
      <c r="C80" s="44"/>
      <c r="D80" s="44"/>
      <c r="E80" s="44"/>
      <c r="F80" s="44"/>
      <c r="G80" s="44"/>
      <c r="H80" s="44"/>
      <c r="I80" s="44"/>
      <c r="J80" s="44"/>
      <c r="K80" s="44"/>
      <c r="L80" s="83"/>
      <c r="M80" s="15"/>
      <c r="N80" s="70"/>
      <c r="O80" s="188"/>
      <c r="P80" s="188"/>
      <c r="Q80" s="188"/>
      <c r="R80" s="188"/>
      <c r="S80" s="44"/>
      <c r="T80" s="63"/>
      <c r="U80" s="64"/>
      <c r="V80" s="183"/>
      <c r="W80" s="183"/>
      <c r="X80" s="183"/>
      <c r="Y80" s="63"/>
      <c r="Z80" s="69"/>
      <c r="AA80" s="69"/>
      <c r="AB80" s="60"/>
      <c r="AC80" s="15"/>
      <c r="AD80" s="299"/>
      <c r="AE80" s="301"/>
      <c r="AF80" s="301"/>
      <c r="AG80" s="301"/>
      <c r="AH80" s="301"/>
      <c r="AI80" s="301"/>
      <c r="AJ80" s="301"/>
      <c r="AK80" s="301"/>
      <c r="AL80" s="301"/>
      <c r="AM80" s="301"/>
      <c r="AN80" s="301"/>
      <c r="AO80" s="301"/>
      <c r="AP80" s="301"/>
      <c r="AQ80" s="301"/>
      <c r="AR80" s="301"/>
      <c r="AS80" s="297"/>
      <c r="AT80" s="15"/>
      <c r="AU80" s="163"/>
      <c r="AV80" s="163"/>
      <c r="AW80" s="304"/>
      <c r="AX80" s="206"/>
      <c r="AY80" s="206"/>
      <c r="AZ80" s="206"/>
      <c r="BA80" s="206"/>
      <c r="BB80" s="260"/>
      <c r="BC80" s="206"/>
      <c r="BD80" s="206"/>
      <c r="BE80" s="206"/>
      <c r="BF80" s="206"/>
      <c r="BG80" s="260"/>
      <c r="BH80" s="206"/>
      <c r="BI80" s="163"/>
      <c r="BJ80" s="163"/>
      <c r="BK80" s="302" t="s">
        <v>30</v>
      </c>
      <c r="BL80" s="353" t="s">
        <v>32</v>
      </c>
      <c r="BM80" s="302" t="s">
        <v>26</v>
      </c>
      <c r="BN80" s="302" t="s">
        <v>27</v>
      </c>
      <c r="BO80" s="302" t="s">
        <v>28</v>
      </c>
      <c r="BP80" s="163"/>
      <c r="BQ80" s="342"/>
      <c r="BR80" s="342"/>
      <c r="BS80" s="342"/>
      <c r="BT80" s="342"/>
      <c r="BU80" s="342"/>
      <c r="BV80" s="342"/>
      <c r="BW80" s="342"/>
      <c r="BX80" s="342"/>
      <c r="BY80" s="342"/>
      <c r="BZ80" s="345">
        <f>IF(BT2=1,         IF(H15="Imperial",          IF(BX81=1,    (AZ77+H55-(H45/2))/12,   ((2*AZ77)+((BX81-2)*BA77))/12),             IF(BX81=1,        (AZ77+H55-(H45/2))/1000,      ((2*AZ77)+((BX81-2)*BA77))/1000)),                                     IF(H15="Imperial",          IF(BU88=1,     (AZ77+H55-(H45/2))/12,      ((2*AZ77)+((BU88-2)*BA77))/12),             IF(BU88=1,        (AZ77+H55-(H45/2))/1000,      ((2*AZ77)+((BU88-2)*BA77))/1000)))</f>
        <v>7</v>
      </c>
      <c r="CA80" s="345">
        <f>IF(BT2=1,         "N/A",             IF(H15="Imperial",               IF(BX81=1,        (AZ5+H55+H55)/12,           ((2*AZ79)+((BX81-2)*BE79))/12),                                                                                                                                                              IF(BX81=1,                                                   (AZ5+H55+H55)/1000,      ((2*AZ79)+((BX81-2)*BE79))/1000)))</f>
        <v>10.583333333333334</v>
      </c>
      <c r="CB80" s="163"/>
      <c r="CC80" s="235"/>
      <c r="CD80" s="8"/>
      <c r="CE80" s="8"/>
      <c r="CF80" s="8"/>
      <c r="CG80" s="8"/>
      <c r="CH80" s="8"/>
      <c r="CI80" s="8"/>
      <c r="CJ80" s="8"/>
      <c r="CK80" s="8"/>
      <c r="CL80" s="8"/>
      <c r="CM80" s="17"/>
      <c r="CN80" s="3"/>
      <c r="CO80" s="3"/>
      <c r="CP80" s="15"/>
      <c r="CQ80" s="15"/>
      <c r="CR80" s="12"/>
      <c r="CS80" s="15"/>
      <c r="CT80" s="22"/>
      <c r="CU80" s="22"/>
    </row>
    <row r="81" spans="2:103" ht="15" customHeight="1" x14ac:dyDescent="0.25">
      <c r="B81" s="82"/>
      <c r="C81" s="44"/>
      <c r="D81" s="44"/>
      <c r="E81" s="44"/>
      <c r="F81" s="44"/>
      <c r="G81" s="44"/>
      <c r="H81" s="44"/>
      <c r="I81" s="44"/>
      <c r="J81" s="44"/>
      <c r="K81" s="44"/>
      <c r="L81" s="83"/>
      <c r="M81" s="15"/>
      <c r="N81" s="70"/>
      <c r="O81" s="188"/>
      <c r="P81" s="188"/>
      <c r="Q81" s="188"/>
      <c r="R81" s="188"/>
      <c r="S81" s="44"/>
      <c r="T81" s="63"/>
      <c r="U81" s="64" t="s">
        <v>68</v>
      </c>
      <c r="V81" s="326">
        <f>IF(H15="Imperial",              IF(H37=1,                (H29+H27+AY61)/12,                     (H29+H27+(H37*AY61)+((H37-1)*H39))/12),                                                                                                                                                                                  IF(H37=1,                                                                   (H29+H27+AY61)/1000,                (H29+H27+(H37*AY61)+((H37-1)*H39))/1000))</f>
        <v>3.8333333333333335</v>
      </c>
      <c r="W81" s="326"/>
      <c r="X81" s="326"/>
      <c r="Y81" s="63" t="str">
        <f>IF(H15="Imperial",    "ft",       "m")</f>
        <v>ft</v>
      </c>
      <c r="Z81" s="69"/>
      <c r="AA81" s="69"/>
      <c r="AB81" s="60"/>
      <c r="AC81" s="15"/>
      <c r="AD81" s="192"/>
      <c r="AE81" s="181"/>
      <c r="AF81" s="181"/>
      <c r="AG81" s="181"/>
      <c r="AH81" s="181"/>
      <c r="AI81" s="181"/>
      <c r="AJ81" s="181"/>
      <c r="AK81" s="181"/>
      <c r="AL81" s="181"/>
      <c r="AM81" s="181"/>
      <c r="AN81" s="181"/>
      <c r="AO81" s="181"/>
      <c r="AP81" s="181"/>
      <c r="AQ81" s="181"/>
      <c r="AR81" s="181"/>
      <c r="AS81" s="191"/>
      <c r="AT81" s="15"/>
      <c r="AU81" s="163"/>
      <c r="AV81" s="163"/>
      <c r="AW81" s="304"/>
      <c r="AX81" s="206" t="str">
        <f>IF($H$15="Imperial","Storage Volume (ft²)","Storage Volume (m²)")</f>
        <v>Storage Volume (ft²)</v>
      </c>
      <c r="AY81" s="206">
        <f>IF($H$15="Imperial",             IF($H$19="SC-18",             22.47,          IF(H19="SC-44",       103.1,           IF(H19="SC-34E",        77.6,         74.53))),                      IF($H$19="SC-18",             0.64,                                   IF(H19="SC-44",         2.92,         IF(H19="SC-34E",        2.2,          2.11))))</f>
        <v>77.599999999999994</v>
      </c>
      <c r="AZ81" s="206">
        <f>IF($H$15="Imperial",            ((((AZ75*AZ77*AZ79)/1728)-AY81)*($H$33/100)),          ((((AZ75*AZ77*AZ79)/1000000000)-AY81)*($H$33/100)))</f>
        <v>-31.04</v>
      </c>
      <c r="BA81" s="206">
        <f>IF($H$15="Imperial",                  ((((BA75*BA77*BA79)/1728)-AY81)*($H$33/100)),                       ((((BA75*BA77*BA79)/1000000000)-AY81)*($H$33/100)))</f>
        <v>-31.04</v>
      </c>
      <c r="BB81" s="206">
        <f>AY81+AZ81</f>
        <v>46.559999999999995</v>
      </c>
      <c r="BC81" s="206">
        <f>AY81+BA81</f>
        <v>46.559999999999995</v>
      </c>
      <c r="BD81" s="206">
        <f>IF($H$15="Imperial",        IF($H$19="SC-18",             21.36,            IF(H19="SC-44",         94.02,         IF(H19="SC-34E",         72.8,         69.83))),              IF($H$19="SC-18",             0.6,               IF(H19="SC-44",        2.66,        IF(H19="SC-34E",        2.06,         1.98))))</f>
        <v>72.8</v>
      </c>
      <c r="BE81" s="206">
        <f>IF($H$15="Imperial",              ((((BE75*BE77*BE79)/1728)-BD81)*($H$33/100)),                ((((BE75*BE77*BE79)/1000000000)-BD81)*($H$33/100)))</f>
        <v>-29.12</v>
      </c>
      <c r="BF81" s="206">
        <f>IF($H$15="Imperial",                  ((((BF75*BF77*BF79)/1728)-BD81)*($H$33/100)),              ((((BF75*BF77*BF79)/1000000000)-BD81)*($H$33/100)))</f>
        <v>-29.12</v>
      </c>
      <c r="BG81" s="206">
        <f>BD81+BE81</f>
        <v>43.679999999999993</v>
      </c>
      <c r="BH81" s="206">
        <f>BD81+BF81</f>
        <v>43.679999999999993</v>
      </c>
      <c r="BI81" s="163"/>
      <c r="BJ81" s="163"/>
      <c r="BK81" s="302"/>
      <c r="BL81" s="353"/>
      <c r="BM81" s="302"/>
      <c r="BN81" s="302"/>
      <c r="BO81" s="302"/>
      <c r="BP81" s="163"/>
      <c r="BQ81" s="305">
        <f>IF($H$37=1,       0,           IF(H17-BO152&lt;=0,       0,          IF($H$37=2,      H17/2,               IF($H$37=3,       ($H$17-BO152)/2,        IF(H37=4,        (H17-BO152-BO192)/2,         0)))))</f>
        <v>0</v>
      </c>
      <c r="BR81" s="348">
        <f>IF($H$15="Imperial",         BQ81*1728,        BQ81*1000000000)</f>
        <v>0</v>
      </c>
      <c r="BS81" s="305">
        <f>IF(H37=1,            0,            IF(H37=2,          H25,      IF(H37=4,        IF(BT2=1,         BO194,      BO193),         IF(BT2=1,         BO153,         BO154))))</f>
        <v>0</v>
      </c>
      <c r="BT81" s="305">
        <f>IF($H$15="Imperial",                    IF(BT2=1,              ((BS81*12)-(2*AZ77))/BA77,                                    ((BS81*12)-(2*AZ79))/BE79),                                                                                                                                                                            IF(BT2=1,                                                                                                                     ((BS81*1000)-(2*AZ77))/BA77,                                ((BS81*1000)-(2*AZ79))/BE79))</f>
        <v>-2.3956043956043955</v>
      </c>
      <c r="BU81" s="305"/>
      <c r="BV81" s="305">
        <f>IF(BT81&lt;0,        0,          ROUNDDOWN(BT81,0))</f>
        <v>0</v>
      </c>
      <c r="BW81" s="305"/>
      <c r="BX81" s="305">
        <f>IF(BQ81&lt;=AZ23,     1,    IF(H15="Imperial",      IF(BT2=1,         IF(BS81&lt;(((2*AZ77)/12)),      1,     BV81+2),           IF(BS81&lt;(((2*AZ79)/12)),      1,    BV81+2)),                                                                                        IF(BT2=1,                                                                                                       IF(BS81&lt;(((2*AZ77)/1000)),     1,     BV81+2),             IF(BS81&lt;(((2*AZ79)/1000)),       1,     BV81+2))))</f>
        <v>1</v>
      </c>
      <c r="BY81" s="305"/>
      <c r="BZ81" s="345"/>
      <c r="CA81" s="345"/>
      <c r="CB81" s="163"/>
      <c r="CC81" s="206"/>
      <c r="CD81" s="9"/>
      <c r="CE81" s="9"/>
      <c r="CF81" s="9"/>
      <c r="CG81" s="9"/>
      <c r="CH81" s="9"/>
      <c r="CI81" s="9"/>
      <c r="CJ81" s="12"/>
      <c r="CK81" s="12"/>
      <c r="CL81" s="12"/>
      <c r="CM81" s="17"/>
      <c r="CN81" s="3"/>
      <c r="CO81" s="24"/>
      <c r="CP81" s="7"/>
      <c r="CQ81" s="7"/>
      <c r="CR81" s="7"/>
      <c r="CS81" s="15"/>
      <c r="CT81" s="22"/>
      <c r="CU81" s="22"/>
    </row>
    <row r="82" spans="2:103" ht="16.5" customHeight="1" x14ac:dyDescent="0.25">
      <c r="B82" s="82"/>
      <c r="C82" s="44"/>
      <c r="D82" s="44"/>
      <c r="E82" s="44"/>
      <c r="F82" s="44"/>
      <c r="G82" s="44"/>
      <c r="H82" s="44"/>
      <c r="I82" s="44"/>
      <c r="J82" s="44"/>
      <c r="K82" s="44"/>
      <c r="L82" s="83"/>
      <c r="M82" s="15"/>
      <c r="N82" s="70"/>
      <c r="O82" s="188"/>
      <c r="P82" s="188"/>
      <c r="Q82" s="188"/>
      <c r="R82" s="188"/>
      <c r="S82" s="44"/>
      <c r="T82" s="63"/>
      <c r="U82" s="64" t="s">
        <v>76</v>
      </c>
      <c r="V82" s="326">
        <f>IF(H15="Imperial",          V81-(H27/12)+(H31/12),           V81-(H27/1000)+(H31/1000))</f>
        <v>4.8333333333333339</v>
      </c>
      <c r="W82" s="326"/>
      <c r="X82" s="326"/>
      <c r="Y82" s="63" t="str">
        <f>IF(H15="Imperial",    "ft",       "m")</f>
        <v>ft</v>
      </c>
      <c r="Z82" s="69"/>
      <c r="AA82" s="65"/>
      <c r="AB82" s="60"/>
      <c r="AC82" s="15"/>
      <c r="AD82" s="192"/>
      <c r="AE82" s="181"/>
      <c r="AF82" s="181"/>
      <c r="AG82" s="181"/>
      <c r="AH82" s="181"/>
      <c r="AI82" s="181"/>
      <c r="AJ82" s="181"/>
      <c r="AK82" s="181"/>
      <c r="AL82" s="181"/>
      <c r="AM82" s="181"/>
      <c r="AN82" s="181"/>
      <c r="AO82" s="181"/>
      <c r="AP82" s="181"/>
      <c r="AQ82" s="181"/>
      <c r="AR82" s="181"/>
      <c r="AS82" s="191"/>
      <c r="AT82" s="15"/>
      <c r="AU82" s="163"/>
      <c r="AV82" s="163"/>
      <c r="AW82" s="304"/>
      <c r="AX82" s="206"/>
      <c r="AY82" s="206"/>
      <c r="AZ82" s="206"/>
      <c r="BA82" s="206"/>
      <c r="BB82" s="206"/>
      <c r="BC82" s="206"/>
      <c r="BD82" s="206"/>
      <c r="BE82" s="206"/>
      <c r="BF82" s="206"/>
      <c r="BG82" s="206"/>
      <c r="BH82" s="206"/>
      <c r="BI82" s="163"/>
      <c r="BJ82" s="163"/>
      <c r="BK82" s="302"/>
      <c r="BL82" s="246">
        <f>IF(H37&lt;2,     0,         IF(BT114&lt;=1,        IF(BT118&lt;=2,       0,             BT109),          IF(BT114&lt;=BT113,       BT114*BT109,            IF(BT115=1,         BT109+BT99,        2*BT99))))</f>
        <v>0</v>
      </c>
      <c r="BM82" s="265">
        <f>BL82*BE81</f>
        <v>0</v>
      </c>
      <c r="BN82" s="248">
        <f>BL82*BD81</f>
        <v>0</v>
      </c>
      <c r="BO82" s="242">
        <f>IF(BL82=0,                   0,                     IF(BO92=1,                    IF(H15="Imperial",                    BM82+BN82+(BL82*((((H55-(H45/2))*BE75*BE79)/1728)*(H33/100))),                                                                                                             BM82+BN82+(BL82*((((H55-(H45/2))*BE75*BE79)/1000000000)*(H33/100)))),         BM82+BN82))</f>
        <v>0</v>
      </c>
      <c r="BP82" s="163"/>
      <c r="BQ82" s="305"/>
      <c r="BR82" s="348"/>
      <c r="BS82" s="305"/>
      <c r="BT82" s="305"/>
      <c r="BU82" s="305"/>
      <c r="BV82" s="305"/>
      <c r="BW82" s="305"/>
      <c r="BX82" s="305"/>
      <c r="BY82" s="305"/>
      <c r="BZ82" s="276"/>
      <c r="CA82" s="276"/>
      <c r="CB82" s="163"/>
      <c r="CC82" s="206"/>
      <c r="CD82" s="9"/>
      <c r="CE82" s="9"/>
      <c r="CF82" s="9"/>
      <c r="CG82" s="9"/>
      <c r="CH82" s="9"/>
      <c r="CI82" s="9"/>
      <c r="CJ82" s="12"/>
      <c r="CK82" s="12"/>
      <c r="CL82" s="12"/>
      <c r="CM82" s="185"/>
      <c r="CN82" s="3"/>
      <c r="CO82" s="24"/>
      <c r="CP82" s="7"/>
      <c r="CQ82" s="7"/>
      <c r="CR82" s="7"/>
      <c r="CS82" s="15"/>
      <c r="CT82" s="22"/>
      <c r="CU82" s="22"/>
    </row>
    <row r="83" spans="2:103" ht="14.1" customHeight="1" x14ac:dyDescent="0.25">
      <c r="B83" s="82"/>
      <c r="C83" s="44"/>
      <c r="D83" s="44"/>
      <c r="E83" s="44"/>
      <c r="F83" s="44"/>
      <c r="G83" s="44"/>
      <c r="H83" s="44"/>
      <c r="I83" s="44"/>
      <c r="J83" s="44"/>
      <c r="K83" s="44"/>
      <c r="L83" s="83"/>
      <c r="M83" s="15"/>
      <c r="N83" s="82"/>
      <c r="O83" s="44"/>
      <c r="P83" s="64"/>
      <c r="Q83" s="64"/>
      <c r="R83" s="64"/>
      <c r="S83" s="64"/>
      <c r="T83" s="63"/>
      <c r="U83" s="64" t="s">
        <v>203</v>
      </c>
      <c r="V83" s="326">
        <f>IF(H37=1,     IF(X33=0,             V77*V79,             IF(H15="Imperial",       IF((U31+U33)=2,         IF(X31=1,         (V77*V79)-((U31*(AZ63*AZ65))/144),                  (V77*V79)-((U31*(BE63*BE65))/144)),               IF(X31=1,         (V77*V79)-((U31*(BA63*BA65))/144),                  (V77*V79)-((U31*(BF63*BF65))/144))),                IF((U31+U33)=2,         IF(X31=1,         (V77*V79)-((U31*(AZ63*AZ65))/1000000),                  (V77*V79)-((U31*(BE63*BE65))/1000000)),               IF(X31=1,         (V77*V79)-((U31*(BA63*BA65))/1000000),                  (V77*V79)-((U31*(BF63*BF65))/1000000))))),        V77*V79)</f>
        <v>4080.3541666666665</v>
      </c>
      <c r="W83" s="326"/>
      <c r="X83" s="326"/>
      <c r="Y83" s="65" t="str">
        <f>IF($H$15="Imperial","Square Feet", "Square Meters")</f>
        <v>Square Feet</v>
      </c>
      <c r="Z83" s="66"/>
      <c r="AA83" s="44"/>
      <c r="AB83" s="83"/>
      <c r="AC83" s="15"/>
      <c r="AD83" s="147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9"/>
      <c r="AT83" s="15"/>
      <c r="AU83" s="163"/>
      <c r="AV83" s="163"/>
      <c r="AW83" s="358" t="s">
        <v>66</v>
      </c>
      <c r="AX83" s="358"/>
      <c r="AY83" s="358"/>
      <c r="AZ83" s="206">
        <f>IF(H37=1,      0,       AZ77*AZ75*AZ79)</f>
        <v>0</v>
      </c>
      <c r="BA83" s="206">
        <f>IF(H37=1,       0,       BA77*BA75*BA79)</f>
        <v>0</v>
      </c>
      <c r="BB83" s="274">
        <f>IF(H15="Imperial",           IF(H37=1,           0,          (BB81*1728)/AZ83),           IF(H37=1,         0,          (BB81*1000000000)/AZ83))</f>
        <v>0</v>
      </c>
      <c r="BC83" s="274">
        <f>IF(H15="Imperial",     IF(H37=1,       0,        (BC81*1728)/BA83),          IF(H37=1,       0,           (BC81*1000000000)/BA83))</f>
        <v>0</v>
      </c>
      <c r="BD83" s="206"/>
      <c r="BE83" s="206">
        <f>IF(H37=1,      0,      BE75*BE77*BE79)</f>
        <v>0</v>
      </c>
      <c r="BF83" s="206">
        <f>IF(H37=1,     0,         BF75*BF77*BF79)</f>
        <v>0</v>
      </c>
      <c r="BG83" s="206">
        <f>IF(H15="Imperial",        IF(H37=1,       0,          (BG81*1728)/BE83),        IF(H37=1,       0,        (BG81*1000000000)/BE83))</f>
        <v>0</v>
      </c>
      <c r="BH83" s="206">
        <f>IF(H15="Imperial",          IF(H37=1,       0,        (BH81*1728)/BF83),       IF(H37=1,         0,        (BH81*1000000000)/BF83))</f>
        <v>0</v>
      </c>
      <c r="BI83" s="163"/>
      <c r="BJ83" s="163"/>
      <c r="BK83" s="302" t="s">
        <v>31</v>
      </c>
      <c r="BL83" s="353" t="s">
        <v>32</v>
      </c>
      <c r="BM83" s="302" t="s">
        <v>26</v>
      </c>
      <c r="BN83" s="302" t="s">
        <v>27</v>
      </c>
      <c r="BO83" s="302" t="s">
        <v>28</v>
      </c>
      <c r="BP83" s="163"/>
      <c r="BQ83" s="341" t="s">
        <v>230</v>
      </c>
      <c r="BR83" s="341"/>
      <c r="BS83" s="341"/>
      <c r="BT83" s="341"/>
      <c r="BU83" s="341"/>
      <c r="BV83" s="341"/>
      <c r="BW83" s="341"/>
      <c r="BX83" s="341"/>
      <c r="BY83" s="341"/>
      <c r="BZ83" s="276"/>
      <c r="CA83" s="276"/>
      <c r="CB83" s="163"/>
      <c r="CC83" s="235"/>
      <c r="CD83" s="8"/>
      <c r="CE83" s="8"/>
      <c r="CF83" s="8"/>
      <c r="CG83" s="8"/>
      <c r="CH83" s="8"/>
      <c r="CI83" s="8"/>
      <c r="CJ83" s="8"/>
      <c r="CK83" s="12"/>
      <c r="CL83" s="12"/>
      <c r="CM83" s="17"/>
      <c r="CN83" s="7"/>
      <c r="CO83" s="12"/>
      <c r="CP83" s="3"/>
      <c r="CQ83" s="12"/>
      <c r="CR83" s="15"/>
      <c r="CS83" s="15"/>
    </row>
    <row r="84" spans="2:103" ht="16.5" customHeight="1" x14ac:dyDescent="0.25">
      <c r="B84" s="98"/>
      <c r="C84" s="99"/>
      <c r="D84" s="99"/>
      <c r="E84" s="99"/>
      <c r="F84" s="99"/>
      <c r="G84" s="99"/>
      <c r="H84" s="99"/>
      <c r="I84" s="99"/>
      <c r="J84" s="99"/>
      <c r="K84" s="99"/>
      <c r="L84" s="100"/>
      <c r="M84" s="15"/>
      <c r="N84" s="95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7"/>
      <c r="AC84" s="15"/>
      <c r="AD84" s="147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9"/>
      <c r="AT84" s="15"/>
      <c r="AU84" s="163"/>
      <c r="AV84" s="163"/>
      <c r="AW84" s="163"/>
      <c r="AX84" s="163"/>
      <c r="AY84" s="163"/>
      <c r="AZ84" s="163"/>
      <c r="BA84" s="163"/>
      <c r="BB84" s="163"/>
      <c r="BC84" s="163"/>
      <c r="BD84" s="163"/>
      <c r="BE84" s="163"/>
      <c r="BF84" s="163"/>
      <c r="BG84" s="163"/>
      <c r="BH84" s="163"/>
      <c r="BI84" s="163"/>
      <c r="BJ84" s="163"/>
      <c r="BK84" s="302"/>
      <c r="BL84" s="353"/>
      <c r="BM84" s="302"/>
      <c r="BN84" s="302"/>
      <c r="BO84" s="302"/>
      <c r="BP84" s="163"/>
      <c r="BQ84" s="341"/>
      <c r="BR84" s="341"/>
      <c r="BS84" s="341"/>
      <c r="BT84" s="341"/>
      <c r="BU84" s="341"/>
      <c r="BV84" s="341"/>
      <c r="BW84" s="341"/>
      <c r="BX84" s="341"/>
      <c r="BY84" s="341"/>
      <c r="BZ84" s="276"/>
      <c r="CA84" s="276"/>
      <c r="CB84" s="163"/>
      <c r="CC84" s="235"/>
      <c r="CD84" s="8"/>
      <c r="CE84" s="8"/>
      <c r="CF84" s="8"/>
      <c r="CG84" s="8"/>
      <c r="CH84" s="8"/>
      <c r="CI84" s="8"/>
      <c r="CJ84" s="8"/>
      <c r="CK84" s="12"/>
      <c r="CL84" s="12"/>
      <c r="CM84" s="17"/>
      <c r="CN84" s="7"/>
      <c r="CO84" s="12"/>
      <c r="CP84" s="3"/>
      <c r="CQ84" s="12"/>
      <c r="CR84" s="15"/>
      <c r="CS84" s="15"/>
    </row>
    <row r="85" spans="2:103" ht="14.45" customHeight="1" x14ac:dyDescent="0.25">
      <c r="B85" s="98"/>
      <c r="C85" s="99"/>
      <c r="D85" s="99"/>
      <c r="E85" s="99"/>
      <c r="F85" s="99"/>
      <c r="G85" s="99"/>
      <c r="H85" s="99"/>
      <c r="I85" s="99"/>
      <c r="J85" s="99"/>
      <c r="K85" s="99"/>
      <c r="L85" s="100"/>
      <c r="M85" s="15"/>
      <c r="N85" s="311" t="s">
        <v>18</v>
      </c>
      <c r="O85" s="312"/>
      <c r="P85" s="312"/>
      <c r="Q85" s="312"/>
      <c r="R85" s="312"/>
      <c r="S85" s="312"/>
      <c r="T85" s="312"/>
      <c r="U85" s="312"/>
      <c r="V85" s="312"/>
      <c r="W85" s="312"/>
      <c r="X85" s="312"/>
      <c r="Y85" s="312"/>
      <c r="Z85" s="312"/>
      <c r="AA85" s="312"/>
      <c r="AB85" s="313"/>
      <c r="AC85" s="15"/>
      <c r="AD85" s="147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9"/>
      <c r="AT85" s="15"/>
      <c r="AU85" s="163"/>
      <c r="AV85" s="163"/>
      <c r="AW85" s="310" t="str">
        <f>IF($H$37=3,"Bottom Layer","")</f>
        <v/>
      </c>
      <c r="AX85" s="310"/>
      <c r="AY85" s="310" t="s">
        <v>25</v>
      </c>
      <c r="AZ85" s="310"/>
      <c r="BA85" s="310"/>
      <c r="BB85" s="310"/>
      <c r="BC85" s="310"/>
      <c r="BD85" s="310" t="s">
        <v>24</v>
      </c>
      <c r="BE85" s="310"/>
      <c r="BF85" s="310"/>
      <c r="BG85" s="310"/>
      <c r="BH85" s="310"/>
      <c r="BI85" s="163"/>
      <c r="BJ85" s="163"/>
      <c r="BK85" s="302"/>
      <c r="BL85" s="246">
        <f>IF(H37&lt;2,      0,     IF(BT94=0,      0,      IF(BT114&lt;=BT113,               IF(BT118=1,        BT94,      2*BT94),               IF(BT115&lt;=2,             IF(BT117=0,           0,         IF(BT117=1,        BT94,      2*BT94)),            IF(BT117=0,             BT114-BT115,            IF(BT117=1,             BT94+(BT94-BT116),           2*BT94))))))</f>
        <v>0</v>
      </c>
      <c r="BM85" s="265">
        <f>IF(BL85=0,     0,          IF(BO93=1,          BL85*(BH19+BH23),             IF(BO93=2,                IF(BQ109&lt;=2,         BL85*BA81,         ((BL85-1)*BA81)+(BH19+BH23)),       BL85*BA81)))</f>
        <v>0</v>
      </c>
      <c r="BN85" s="248">
        <f>IF(BL85=0,     0,          IF(BO93=1,          BL85*AZ7,             IF(BO93=2,                IF(BQ109&lt;=2,         BL85*AY81,         ((BL85-1)*AY81)+AZ7),       BL85*AY81)))</f>
        <v>0</v>
      </c>
      <c r="BO85" s="242">
        <f>BM85+BN85</f>
        <v>0</v>
      </c>
      <c r="BP85" s="163"/>
      <c r="BQ85" s="342" t="str">
        <f>IF(BT2=1,    "",      "number of endCs per fullR*endRendCvolumes")</f>
        <v>number of endCs per fullR*endRendCvolumes</v>
      </c>
      <c r="BR85" s="342" t="str">
        <f>IF(BT2=1,       "",      "Max number of midC per fullR*endRmidC Volume")</f>
        <v>Max number of midC per fullR*endRmidC Volume</v>
      </c>
      <c r="BS85" s="342"/>
      <c r="BT85" s="342" t="str">
        <f>IF(BT2=1,     "",      "Number of End Rows")</f>
        <v>Number of End Rows</v>
      </c>
      <c r="BU85" s="342" t="str">
        <f>IF(BT2=1,        "",     "min number of rows suggested")</f>
        <v>min number of rows suggested</v>
      </c>
      <c r="BV85" s="342"/>
      <c r="BW85" s="341" t="s">
        <v>122</v>
      </c>
      <c r="BX85" s="341"/>
      <c r="BY85" s="341"/>
      <c r="BZ85" s="276"/>
      <c r="CA85" s="276"/>
      <c r="CB85" s="163"/>
      <c r="CC85" s="251"/>
      <c r="CD85" s="185"/>
      <c r="CE85" s="9"/>
      <c r="CF85" s="9"/>
      <c r="CG85" s="9"/>
      <c r="CH85" s="9"/>
      <c r="CI85" s="185"/>
      <c r="CJ85" s="8"/>
      <c r="CK85" s="12"/>
      <c r="CL85" s="12"/>
      <c r="CM85" s="36"/>
      <c r="CN85" s="3"/>
      <c r="CO85" s="12"/>
      <c r="CP85" s="12"/>
      <c r="CQ85" s="12"/>
      <c r="CR85" s="15"/>
      <c r="CS85" s="15"/>
    </row>
    <row r="86" spans="2:103" ht="14.25" customHeight="1" x14ac:dyDescent="0.25">
      <c r="B86" s="98"/>
      <c r="C86" s="99"/>
      <c r="D86" s="99"/>
      <c r="E86" s="99"/>
      <c r="F86" s="99"/>
      <c r="G86" s="99"/>
      <c r="H86" s="99"/>
      <c r="I86" s="99"/>
      <c r="J86" s="99"/>
      <c r="K86" s="99"/>
      <c r="L86" s="100"/>
      <c r="M86" s="15"/>
      <c r="N86" s="314"/>
      <c r="O86" s="315"/>
      <c r="P86" s="315"/>
      <c r="Q86" s="315"/>
      <c r="R86" s="315"/>
      <c r="S86" s="315"/>
      <c r="T86" s="315"/>
      <c r="U86" s="315"/>
      <c r="V86" s="315"/>
      <c r="W86" s="315"/>
      <c r="X86" s="315"/>
      <c r="Y86" s="315"/>
      <c r="Z86" s="315"/>
      <c r="AA86" s="315"/>
      <c r="AB86" s="316"/>
      <c r="AC86" s="15"/>
      <c r="AD86" s="147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9"/>
      <c r="AT86" s="15"/>
      <c r="AU86" s="163"/>
      <c r="AV86" s="163"/>
      <c r="AW86" s="272"/>
      <c r="AX86" s="272"/>
      <c r="AY86" s="303" t="s">
        <v>8</v>
      </c>
      <c r="AZ86" s="302" t="s">
        <v>20</v>
      </c>
      <c r="BA86" s="302" t="s">
        <v>22</v>
      </c>
      <c r="BB86" s="302" t="s">
        <v>21</v>
      </c>
      <c r="BC86" s="302" t="s">
        <v>23</v>
      </c>
      <c r="BD86" s="303" t="s">
        <v>8</v>
      </c>
      <c r="BE86" s="302" t="s">
        <v>20</v>
      </c>
      <c r="BF86" s="302" t="s">
        <v>22</v>
      </c>
      <c r="BG86" s="302" t="s">
        <v>21</v>
      </c>
      <c r="BH86" s="302" t="s">
        <v>23</v>
      </c>
      <c r="BI86" s="163"/>
      <c r="BJ86" s="163"/>
      <c r="BK86" s="302" t="s">
        <v>38</v>
      </c>
      <c r="BL86" s="353" t="s">
        <v>32</v>
      </c>
      <c r="BM86" s="302" t="s">
        <v>26</v>
      </c>
      <c r="BN86" s="302" t="s">
        <v>27</v>
      </c>
      <c r="BO86" s="302" t="s">
        <v>28</v>
      </c>
      <c r="BP86" s="163"/>
      <c r="BQ86" s="342"/>
      <c r="BR86" s="342"/>
      <c r="BS86" s="342"/>
      <c r="BT86" s="342"/>
      <c r="BU86" s="342"/>
      <c r="BV86" s="342"/>
      <c r="BW86" s="341"/>
      <c r="BX86" s="341"/>
      <c r="BY86" s="341"/>
      <c r="BZ86" s="276"/>
      <c r="CA86" s="276"/>
      <c r="CB86" s="163"/>
      <c r="CC86" s="206"/>
      <c r="CD86" s="9"/>
      <c r="CE86" s="9"/>
      <c r="CF86" s="9"/>
      <c r="CG86" s="9"/>
      <c r="CH86" s="9"/>
      <c r="CI86" s="9"/>
      <c r="CJ86" s="8"/>
      <c r="CK86" s="12"/>
      <c r="CL86" s="12"/>
      <c r="CM86" s="12"/>
      <c r="CN86" s="3"/>
      <c r="CO86" s="12"/>
      <c r="CP86" s="12"/>
      <c r="CQ86" s="12"/>
      <c r="CR86" s="15"/>
      <c r="CS86" s="15"/>
    </row>
    <row r="87" spans="2:103" ht="15" customHeight="1" x14ac:dyDescent="0.25">
      <c r="B87" s="98"/>
      <c r="C87" s="99"/>
      <c r="D87" s="99"/>
      <c r="E87" s="99"/>
      <c r="F87" s="99"/>
      <c r="G87" s="99"/>
      <c r="H87" s="99"/>
      <c r="I87" s="99"/>
      <c r="J87" s="99"/>
      <c r="K87" s="99"/>
      <c r="L87" s="100"/>
      <c r="M87" s="11"/>
      <c r="N87" s="70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65"/>
      <c r="AB87" s="60"/>
      <c r="AC87" s="38"/>
      <c r="AD87" s="147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9"/>
      <c r="AT87" s="15"/>
      <c r="AU87" s="163"/>
      <c r="AV87" s="163"/>
      <c r="AW87" s="304" t="str">
        <f>IF($H$37&gt;2,      $H$19,          "")</f>
        <v/>
      </c>
      <c r="AX87" s="206"/>
      <c r="AY87" s="303"/>
      <c r="AZ87" s="302"/>
      <c r="BA87" s="302"/>
      <c r="BB87" s="302"/>
      <c r="BC87" s="302"/>
      <c r="BD87" s="303"/>
      <c r="BE87" s="302"/>
      <c r="BF87" s="302"/>
      <c r="BG87" s="302"/>
      <c r="BH87" s="302"/>
      <c r="BI87" s="163"/>
      <c r="BJ87" s="163"/>
      <c r="BK87" s="302"/>
      <c r="BL87" s="353"/>
      <c r="BM87" s="302"/>
      <c r="BN87" s="302"/>
      <c r="BO87" s="302"/>
      <c r="BP87" s="163"/>
      <c r="BQ87" s="342"/>
      <c r="BR87" s="342"/>
      <c r="BS87" s="342"/>
      <c r="BT87" s="342"/>
      <c r="BU87" s="342"/>
      <c r="BV87" s="342"/>
      <c r="BW87" s="341"/>
      <c r="BX87" s="341"/>
      <c r="BY87" s="341"/>
      <c r="BZ87" s="276"/>
      <c r="CA87" s="276"/>
      <c r="CB87" s="163"/>
      <c r="CC87" s="215"/>
      <c r="CD87" s="4"/>
      <c r="CE87" s="4"/>
      <c r="CF87" s="4"/>
      <c r="CG87" s="4"/>
      <c r="CH87" s="4"/>
      <c r="CI87" s="4"/>
      <c r="CJ87" s="4"/>
      <c r="CK87" s="4"/>
      <c r="CL87" s="4"/>
      <c r="CM87" s="7"/>
      <c r="CN87" s="5"/>
      <c r="CO87" s="12"/>
      <c r="CP87" s="15"/>
      <c r="CQ87" s="15"/>
      <c r="CR87" s="15"/>
      <c r="CS87" s="15"/>
    </row>
    <row r="88" spans="2:103" ht="15" customHeight="1" x14ac:dyDescent="0.25">
      <c r="B88" s="98"/>
      <c r="C88" s="99"/>
      <c r="D88" s="99"/>
      <c r="E88" s="99"/>
      <c r="F88" s="99"/>
      <c r="G88" s="99"/>
      <c r="H88" s="99"/>
      <c r="I88" s="99"/>
      <c r="J88" s="99"/>
      <c r="K88" s="99"/>
      <c r="L88" s="100"/>
      <c r="M88" s="15"/>
      <c r="N88" s="120"/>
      <c r="O88" s="66"/>
      <c r="P88" s="66"/>
      <c r="Q88" s="66"/>
      <c r="R88" s="66"/>
      <c r="S88" s="66"/>
      <c r="T88" s="66"/>
      <c r="U88" s="197" t="s">
        <v>219</v>
      </c>
      <c r="V88" s="336">
        <f>IF(H15="Imperial",    IF(H37=1,     (((V83*V81)-BN27)/27)+((H47*(((60*60*(60-H29))/1728)-15))/27),         IF(H37=2,    ((V77*V79*V81)-BN27-BN89)/27,      IF(H37=3,  ((V77*V79*V81)-BN27-BN89-BN146)/27,                           ((V77*V79*V81)-BN27-BN89-BN146-BN186)/27))),                IF(H37=1,                                  ((V83*V81)-BN27)+(H47*(((1524*1524*1524-H29))/1000000000)-0.45),         IF(H37=2,     (V77*V79*V81)-BN27-BN89,                IF(H37=3,              (V77*V79*V81)-BN27-BN89-BN146,                (V77*V79*V81)-BN27-BN89-BN146-BN186))))</f>
        <v>357.19472736625511</v>
      </c>
      <c r="W88" s="336"/>
      <c r="X88" s="336"/>
      <c r="Y88" s="65" t="str">
        <f>IF($H$15="imperial","Cubic Yards", "Cubic Meters")</f>
        <v>Cubic Yards</v>
      </c>
      <c r="Z88" s="66"/>
      <c r="AA88" s="69"/>
      <c r="AB88" s="126"/>
      <c r="AC88" s="15"/>
      <c r="AD88" s="147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9"/>
      <c r="AT88" s="15"/>
      <c r="AU88" s="163"/>
      <c r="AV88" s="163"/>
      <c r="AW88" s="304"/>
      <c r="AX88" s="206"/>
      <c r="AY88" s="303"/>
      <c r="AZ88" s="302"/>
      <c r="BA88" s="302"/>
      <c r="BB88" s="302"/>
      <c r="BC88" s="302"/>
      <c r="BD88" s="303"/>
      <c r="BE88" s="302"/>
      <c r="BF88" s="302"/>
      <c r="BG88" s="302"/>
      <c r="BH88" s="302"/>
      <c r="BI88" s="163"/>
      <c r="BJ88" s="163"/>
      <c r="BK88" s="302"/>
      <c r="BL88" s="247">
        <f>IF(BT94=0,    0,       IF(BT114&lt;=BT113,               IF(BT118&lt;=2,        0,          BT94*BT109),             IF(BT118&lt;=2,       0,         IF(BT115&lt;=2,          IF(BT117&lt;=2,       0,           BT94*BT109),                                                          IF(BT117=2,        (BT94-(BT114-BT115)),              (BT94*BT109)+(BT94-(BT114-BT115)))))))</f>
        <v>0</v>
      </c>
      <c r="BM88" s="248">
        <f>BL88*BF81</f>
        <v>0</v>
      </c>
      <c r="BN88" s="248">
        <f>BL88*BD81</f>
        <v>0</v>
      </c>
      <c r="BO88" s="242">
        <f>BM88+BN88</f>
        <v>0</v>
      </c>
      <c r="BP88" s="163"/>
      <c r="BQ88" s="305">
        <f>IF(BT2=1,                0,                 IF(H15="Imperial",                          IF(BX81=1,                  (AZ7+AZ19)+(((H55*AZ75*AZ77)/1728)*(H33/100)),                                      2*BB81),                                                                                                                                                                                                                                                              IF(BX81=1,                           (AZ7+AZ19)+(((H55*AZ75*AZ77)/1000000000)*(H33/100)),                           2*BB81)))</f>
        <v>49.440000000000005</v>
      </c>
      <c r="BR88" s="305">
        <f>IF(BT2=1,     0,      IF(BV81=0,       0,          BV81*BG81))</f>
        <v>0</v>
      </c>
      <c r="BS88" s="305"/>
      <c r="BT88" s="305">
        <f>IF(BT2=1,          0,     IF(BX81=1,            IF(BQ81&lt;=AZ23,         1,         2),                    IF(BX81=2,                  IF(BQ81&lt;=BG23,         1,              2),                                                                                                                                           IF(H15="Imperial",          IF(BQ81&lt;=((2*(BB81+(((AZ75*(AZ77+H55-(H45/2))*(AY79+H55))/1728)*(H33/100))+(BV81*(BG81+((((H55-(H45/2))*BE75*BE79)/1728)*(H33/100))))))),   1,     2),                                                                                                                                                                  IF(BQ81&lt;=((2*(BB81+(((AZ75*(AZ77+H55-(H45/2))*(AY79+H55))/1000000000)*(H33/100))+(BV81*(BG81+((((H55-(H45/2))*BE75*BE79)/1000000000)*(H33/100))))))),      1,     2)))))</f>
        <v>1</v>
      </c>
      <c r="BU88" s="305">
        <f>IF(BT2=1,                    0,                      IF(BQ81&lt;=(2*(BQ88+BR88)),                    BT88,                         IF(BX81=1,                          (ROUNDUP((BQ81-(2*(BQ88+BR88)))/(BH27),0))+2,                                                                              IF(BX81=2,                    (ROUNDUP((BQ81-(2*(BQ88+BR88)))/(2*BC81),0))+2,                    (ROUNDUP((BQ81-(2*(BQ88+BR88)))/((BV81*BH81)+(2*BC81)),0))+2))))</f>
        <v>1</v>
      </c>
      <c r="BV88" s="305"/>
      <c r="BW88" s="341"/>
      <c r="BX88" s="341"/>
      <c r="BY88" s="341"/>
      <c r="BZ88" s="276"/>
      <c r="CA88" s="276"/>
      <c r="CB88" s="163"/>
      <c r="CC88" s="215"/>
      <c r="CD88" s="4"/>
      <c r="CE88" s="4"/>
      <c r="CF88" s="4"/>
      <c r="CG88" s="4"/>
      <c r="CH88" s="4"/>
      <c r="CI88" s="4"/>
      <c r="CJ88" s="4"/>
      <c r="CK88" s="4"/>
      <c r="CL88" s="4"/>
      <c r="CM88" s="14"/>
      <c r="CN88" s="5"/>
      <c r="CO88" s="12"/>
      <c r="CP88" s="15"/>
      <c r="CQ88" s="15"/>
      <c r="CR88" s="15"/>
      <c r="CS88" s="15"/>
    </row>
    <row r="89" spans="2:103" ht="15" customHeight="1" x14ac:dyDescent="0.25">
      <c r="B89" s="98"/>
      <c r="C89" s="99"/>
      <c r="D89" s="99"/>
      <c r="E89" s="99"/>
      <c r="F89" s="99"/>
      <c r="G89" s="99"/>
      <c r="H89" s="99"/>
      <c r="I89" s="99"/>
      <c r="J89" s="99"/>
      <c r="K89" s="99"/>
      <c r="L89" s="100"/>
      <c r="M89" s="11"/>
      <c r="N89" s="120"/>
      <c r="O89" s="66"/>
      <c r="P89" s="66"/>
      <c r="Q89" s="153" t="s">
        <v>220</v>
      </c>
      <c r="R89" s="66"/>
      <c r="S89" s="66"/>
      <c r="T89" s="66"/>
      <c r="U89" s="197"/>
      <c r="V89" s="189"/>
      <c r="W89" s="189"/>
      <c r="X89" s="189"/>
      <c r="Y89" s="65"/>
      <c r="Z89" s="66"/>
      <c r="AA89" s="69"/>
      <c r="AB89" s="126"/>
      <c r="AC89" s="11"/>
      <c r="AD89" s="147"/>
      <c r="AE89" s="148"/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9"/>
      <c r="AT89" s="15"/>
      <c r="AU89" s="163"/>
      <c r="AV89" s="163"/>
      <c r="AW89" s="304"/>
      <c r="AX89" s="305" t="str">
        <f>IF($H$15="Imperial","Height (in)","Height (mm)")</f>
        <v>Height (in)</v>
      </c>
      <c r="AY89" s="306">
        <f>IF($H$15="Imperial",         IF($H$19="SC-18",             18,            IF($H$19="SC-44",         44,         34)),          IF($H$19="SC-18",             457,           IF($H$19="SC-44",         1117,        864)))</f>
        <v>34</v>
      </c>
      <c r="AZ89" s="306">
        <f>IF($H$37&lt;3,          0,        IF($H$37=3,    $AY$89+$H$29+($H$39/2),          AY89+H39))</f>
        <v>0</v>
      </c>
      <c r="BA89" s="306">
        <f>IF($H$37&lt;3,          0,        IF($H$37=3,    $AY$89+$H$29+($H$39/2),          AY89+H39))</f>
        <v>0</v>
      </c>
      <c r="BB89" s="307"/>
      <c r="BC89" s="307"/>
      <c r="BD89" s="306">
        <f>IF($H$15="Imperial",        IF($H$19="SC-18",             18,           IF($H$19="SC-44",      44,       34)),         IF($H$19="SC-18",             457,           IF($H$19="SC-44",        1117,      864)))</f>
        <v>34</v>
      </c>
      <c r="BE89" s="306">
        <f>IF($H$37&lt;3,          0,        IF($H$37=3,    $AY$89+$H$29+($H$39/2),          AY89+H39))</f>
        <v>0</v>
      </c>
      <c r="BF89" s="306">
        <f>IF($H$37&lt;3,          0,        IF($H$37=3,    $AY$89+$H$29+($H$39/2),          AY89+H39))</f>
        <v>0</v>
      </c>
      <c r="BG89" s="307"/>
      <c r="BH89" s="307"/>
      <c r="BI89" s="277"/>
      <c r="BJ89" s="277"/>
      <c r="BK89" s="278" t="s">
        <v>193</v>
      </c>
      <c r="BL89" s="278">
        <f>BL79+BL82+BL85+BL88</f>
        <v>0</v>
      </c>
      <c r="BM89" s="278">
        <f>BM79+BM82+BM85+BM88</f>
        <v>0</v>
      </c>
      <c r="BN89" s="278">
        <f>BN79+BN82+BN85+BN88</f>
        <v>0</v>
      </c>
      <c r="BO89" s="278">
        <f>BO79+BO82+BO85+BO88</f>
        <v>0</v>
      </c>
      <c r="BP89" s="163"/>
      <c r="BQ89" s="305"/>
      <c r="BR89" s="305"/>
      <c r="BS89" s="305"/>
      <c r="BT89" s="305"/>
      <c r="BU89" s="305"/>
      <c r="BV89" s="305"/>
      <c r="BW89" s="341"/>
      <c r="BX89" s="341"/>
      <c r="BY89" s="341"/>
      <c r="BZ89" s="276"/>
      <c r="CA89" s="276"/>
      <c r="CB89" s="163"/>
      <c r="CC89" s="220"/>
      <c r="CD89" s="5"/>
      <c r="CE89" s="5"/>
      <c r="CF89" s="5"/>
      <c r="CG89" s="5"/>
      <c r="CH89" s="5"/>
      <c r="CI89" s="5"/>
      <c r="CJ89" s="5"/>
      <c r="CK89" s="5"/>
      <c r="CL89" s="5"/>
      <c r="CM89" s="14"/>
      <c r="CN89" s="5"/>
      <c r="CO89" s="8"/>
      <c r="CP89" s="15"/>
      <c r="CQ89" s="15"/>
      <c r="CR89" s="15"/>
      <c r="CS89" s="15"/>
    </row>
    <row r="90" spans="2:103" ht="15" customHeight="1" x14ac:dyDescent="0.25">
      <c r="B90" s="98"/>
      <c r="C90" s="99"/>
      <c r="D90" s="99"/>
      <c r="E90" s="99"/>
      <c r="F90" s="99"/>
      <c r="G90" s="99"/>
      <c r="H90" s="99"/>
      <c r="I90" s="99"/>
      <c r="J90" s="99"/>
      <c r="K90" s="99"/>
      <c r="L90" s="100"/>
      <c r="M90" s="11"/>
      <c r="N90" s="120"/>
      <c r="O90" s="63"/>
      <c r="P90" s="63"/>
      <c r="Q90" s="63"/>
      <c r="R90" s="63"/>
      <c r="S90" s="44"/>
      <c r="T90" s="63"/>
      <c r="U90" s="64" t="s">
        <v>206</v>
      </c>
      <c r="V90" s="337">
        <f>IF(H15="Imperial",      IF(H37=1,                    (V83*V81)/27,                (V77*V79*V81)/27),          IF(H37=1,           (V83*V81),      (V77*V79*V81)))</f>
        <v>579.3095421810699</v>
      </c>
      <c r="W90" s="337"/>
      <c r="X90" s="337"/>
      <c r="Y90" s="65" t="str">
        <f>IF($H$15="Imperial","Cubic Yards", "Cubic Meters")</f>
        <v>Cubic Yards</v>
      </c>
      <c r="Z90" s="66"/>
      <c r="AA90" s="65"/>
      <c r="AB90" s="126"/>
      <c r="AC90" s="15"/>
      <c r="AD90" s="150"/>
      <c r="AE90" s="151"/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2"/>
      <c r="AT90" s="15"/>
      <c r="AU90" s="163"/>
      <c r="AV90" s="163"/>
      <c r="AW90" s="304"/>
      <c r="AX90" s="305"/>
      <c r="AY90" s="306"/>
      <c r="AZ90" s="306"/>
      <c r="BA90" s="306"/>
      <c r="BB90" s="307"/>
      <c r="BC90" s="307"/>
      <c r="BD90" s="306"/>
      <c r="BE90" s="306"/>
      <c r="BF90" s="306"/>
      <c r="BG90" s="307"/>
      <c r="BH90" s="307"/>
      <c r="BI90" s="277"/>
      <c r="BJ90" s="277"/>
      <c r="BK90" s="277"/>
      <c r="BL90" s="277"/>
      <c r="BM90" s="277"/>
      <c r="BN90" s="277"/>
      <c r="BO90" s="277"/>
      <c r="BP90" s="163"/>
      <c r="BQ90" s="305" t="s">
        <v>231</v>
      </c>
      <c r="BR90" s="305"/>
      <c r="BS90" s="305"/>
      <c r="BT90" s="305"/>
      <c r="BU90" s="305"/>
      <c r="BV90" s="305"/>
      <c r="BW90" s="305"/>
      <c r="BX90" s="305"/>
      <c r="BY90" s="305"/>
      <c r="BZ90" s="276"/>
      <c r="CA90" s="276"/>
      <c r="CB90" s="163"/>
      <c r="CC90" s="235"/>
      <c r="CD90" s="8"/>
      <c r="CE90" s="8"/>
      <c r="CF90" s="8"/>
      <c r="CG90" s="8"/>
      <c r="CH90" s="8"/>
      <c r="CI90" s="8"/>
      <c r="CJ90" s="8"/>
      <c r="CK90" s="8"/>
      <c r="CL90" s="7"/>
      <c r="CM90" s="7"/>
      <c r="CN90" s="5"/>
      <c r="CO90" s="8"/>
      <c r="CP90" s="15"/>
      <c r="CQ90" s="15"/>
      <c r="CR90" s="15"/>
      <c r="CS90" s="15"/>
    </row>
    <row r="91" spans="2:103" ht="15" customHeight="1" x14ac:dyDescent="0.25">
      <c r="B91" s="98"/>
      <c r="C91" s="99"/>
      <c r="D91" s="99"/>
      <c r="E91" s="99"/>
      <c r="F91" s="99"/>
      <c r="G91" s="99"/>
      <c r="H91" s="99"/>
      <c r="I91" s="99"/>
      <c r="J91" s="99"/>
      <c r="K91" s="99"/>
      <c r="L91" s="100"/>
      <c r="M91" s="11"/>
      <c r="N91" s="120"/>
      <c r="O91" s="63"/>
      <c r="P91" s="63"/>
      <c r="Q91" s="63"/>
      <c r="R91" s="63"/>
      <c r="S91" s="44"/>
      <c r="T91" s="63"/>
      <c r="U91" s="64" t="s">
        <v>19</v>
      </c>
      <c r="V91" s="337">
        <f>IF(H15="Imperial",                IF(H51="yes",                  (((((V77*V79)+(2*((V77+4)*(V79+4))))+(2*((2*(V79+4)*(V81+2))+(2*(V77+4)*(V81+2)))))/9)   +                                       ((((2*V77*((ROUNDUP((V79-2)/10.5,0)-1))))+(2*(2*(V77+4)*((ROUNDUP((V79+2)/10.5,0)-1)))))/9))*(1.1),                                                                                                                (((((V77*V79)+((V77+4)*(V79+4)))+((2*(V79+4)*(V81+2))+(2*(V77+4)*(V81+2))))/9)                                       +                                                                                                                 ((((2*V77*((ROUNDUP((V79-2)/10.5,0)-1))))+(2*(V77+4)*((ROUNDUP((V79+2)/10.5,0)-1))))/9))*(1.1)   ),                                                                                                                                                                                                               IF(H51="yes",                                  (((((V77*V79)+(2*((V77+1.22)*(V79+1.22))))+(2*((2*(V79+1.22)*(V81+0.61))+(2*(V77+1.22)*(V81+0.61)))))   +    ((((0.61*V77*((ROUNDUP((V79-0.61)/3.2,0)-1)))))+(2*(0.61*(V77+1.22)*((ROUNDUP((V79+0.61)/3.2,0)-1)))))))*(1.1),         (((((V77*V79)+((V77+1.22)*(V79+1.22)))+((2*(V79+1.22)*(V81+0.61))+(2*(V77+1.22)*(V81+0.61))))   +    (((0.61*V77*((ROUNDUP((V79-0.61)/3.2,0)-1))))+(0.61*(V77+1.22)*((ROUNDUP((V79+0.61)/3.2,0)-1))))))*(1.1)          ))</f>
        <v>1593.6691358024691</v>
      </c>
      <c r="W91" s="337"/>
      <c r="X91" s="337"/>
      <c r="Y91" s="65" t="str">
        <f>IF($H$15="Imperial","Square Yards", "Square Meters")</f>
        <v>Square Yards</v>
      </c>
      <c r="Z91" s="66"/>
      <c r="AA91" s="69"/>
      <c r="AB91" s="126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63"/>
      <c r="AV91" s="163"/>
      <c r="AW91" s="304"/>
      <c r="AX91" s="206" t="str">
        <f>IF($H$15="Imperial","Width (in)","Width (mm)")</f>
        <v>Width (in)</v>
      </c>
      <c r="AY91" s="279">
        <f>IF($H$15="Imperial",          IF($H$19="SC-18",             38,          IF($H$19="SC-44",       78,       60)),          IF($H$19="SC-18",             965,          IF($H$19="SC-44",      1981,       1524)))</f>
        <v>60</v>
      </c>
      <c r="AZ91" s="279">
        <f>IF(H15="Imperial",                AY91+($H$45/2)+(H55),                AY91+($H$45/2)+(H55))</f>
        <v>76.5</v>
      </c>
      <c r="BA91" s="279">
        <f>AY91+$H$45</f>
        <v>69</v>
      </c>
      <c r="BB91" s="280"/>
      <c r="BC91" s="279"/>
      <c r="BD91" s="279">
        <f>IF($H$15="Imperial",          IF($H$19="SC-18",             38,          IF($H$19="SC-44",       78,       60)),              IF($H$19="SC-18",             965,              IF($H$19="SC-44",      1981,       1524)))</f>
        <v>60</v>
      </c>
      <c r="BE91" s="279">
        <f>IF(H15="imperial",             BD91+($H$45/2)+(H55),               BD91+($H$45/2)+(H55))</f>
        <v>76.5</v>
      </c>
      <c r="BF91" s="279">
        <f>BD91+$H$45</f>
        <v>69</v>
      </c>
      <c r="BG91" s="280"/>
      <c r="BH91" s="279"/>
      <c r="BI91" s="163"/>
      <c r="BJ91" s="163"/>
      <c r="BK91" s="263" t="str">
        <f>IF($H$23=1,"Min suggested number of rows","Max suggested number of rows")</f>
        <v>Max suggested number of rows</v>
      </c>
      <c r="BL91" s="263"/>
      <c r="BM91" s="263"/>
      <c r="BN91" s="263"/>
      <c r="BO91" s="248">
        <f>IF(H37&lt;2,       0,      BY95)</f>
        <v>0</v>
      </c>
      <c r="BP91" s="163"/>
      <c r="BQ91" s="343" t="s">
        <v>108</v>
      </c>
      <c r="BR91" s="343" t="str">
        <f>IF(H37=2,          "Chosen Number of Rows",      "Default Number of Rows")</f>
        <v>Default Number of Rows</v>
      </c>
      <c r="BS91" s="343" t="s">
        <v>109</v>
      </c>
      <c r="BT91" s="344" t="s">
        <v>110</v>
      </c>
      <c r="BU91" s="344" t="s">
        <v>111</v>
      </c>
      <c r="BV91" s="344"/>
      <c r="BW91" s="344" t="s">
        <v>112</v>
      </c>
      <c r="BX91" s="305"/>
      <c r="BY91" s="343" t="s">
        <v>104</v>
      </c>
      <c r="BZ91" s="343"/>
      <c r="CA91" s="343"/>
      <c r="CB91" s="163"/>
      <c r="CC91" s="235"/>
      <c r="CD91" s="8"/>
      <c r="CE91" s="8"/>
      <c r="CF91" s="8"/>
      <c r="CG91" s="8"/>
      <c r="CH91" s="8"/>
      <c r="CI91" s="8"/>
      <c r="CJ91" s="8"/>
      <c r="CK91" s="8"/>
      <c r="CL91" s="7"/>
      <c r="CM91" s="7"/>
      <c r="CN91" s="5"/>
      <c r="CO91" s="7"/>
      <c r="CP91" s="12"/>
      <c r="CQ91" s="15"/>
      <c r="CR91" s="15"/>
      <c r="CS91" s="7"/>
      <c r="CT91" s="7"/>
      <c r="CU91" s="7"/>
      <c r="CV91" s="7"/>
      <c r="CW91" s="7"/>
      <c r="CX91" s="7"/>
      <c r="CY91" s="7"/>
    </row>
    <row r="92" spans="2:103" ht="15" customHeight="1" x14ac:dyDescent="0.25">
      <c r="B92" s="98"/>
      <c r="C92" s="99"/>
      <c r="D92" s="99"/>
      <c r="E92" s="99"/>
      <c r="F92" s="99"/>
      <c r="G92" s="99"/>
      <c r="H92" s="99"/>
      <c r="I92" s="99"/>
      <c r="J92" s="99"/>
      <c r="K92" s="99"/>
      <c r="L92" s="100"/>
      <c r="M92" s="11"/>
      <c r="N92" s="120"/>
      <c r="O92" s="63"/>
      <c r="P92" s="63"/>
      <c r="Q92" s="63"/>
      <c r="R92" s="63"/>
      <c r="S92" s="44"/>
      <c r="T92" s="63"/>
      <c r="U92" s="64" t="s">
        <v>217</v>
      </c>
      <c r="V92" s="338">
        <f>IF(H37=1, H53*(ROUNDUP((P31/75),0)), IF(H37=2, H53*(ROUNDUP((P43/75),0)), IF(H37=3, H53*(ROUNDUP((P55/75),0)), H53*(ROUNDUP((P67/75),0)))))</f>
        <v>3</v>
      </c>
      <c r="W92" s="338"/>
      <c r="X92" s="338"/>
      <c r="Y92" s="65" t="s">
        <v>57</v>
      </c>
      <c r="Z92" s="66"/>
      <c r="AA92" s="65"/>
      <c r="AB92" s="126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63"/>
      <c r="AV92" s="163"/>
      <c r="AW92" s="304"/>
      <c r="AX92" s="206" t="str">
        <f>IF($H$15="Imperial","Installed Length (in)","Installed Length (mm)")</f>
        <v>Installed Length (in)</v>
      </c>
      <c r="AY92" s="279">
        <f>IF($H$15="Imperial",                 IF($H$19="SC-18",             96,                IF($H$19="SC-44",          82.25,               IF($H$19="SC-34E",         97,        95))),                   IF($H$19="SC-18",             2438,                                            IF($H$19="SC-44",         2089,                IF($H$19="SC-34E",          2464,          2413))))</f>
        <v>97</v>
      </c>
      <c r="AZ92" s="279">
        <f>IF(H15="Imperial",         AY92+(H55),             AY92+(H55))</f>
        <v>109</v>
      </c>
      <c r="BA92" s="279">
        <f>IF(H15="Imperial",             AY92+(H55),             AY92+(H55))</f>
        <v>109</v>
      </c>
      <c r="BB92" s="280"/>
      <c r="BC92" s="279"/>
      <c r="BD92" s="279">
        <f>IF($H$15="Imperial",         IF($H$19="SC-18",             91.25,            IF($H$19="SC-44",       75,            IF($H$19="SC-34E",         91,        89))),         IF($H$19="SC-18",             2318,              IF($H$19="SC-44",      1905,            IF($H$19="SC-34E",        2311,        2261))))</f>
        <v>91</v>
      </c>
      <c r="BE92" s="279">
        <f>BD92</f>
        <v>91</v>
      </c>
      <c r="BF92" s="279">
        <f>BD92</f>
        <v>91</v>
      </c>
      <c r="BG92" s="280"/>
      <c r="BH92" s="279"/>
      <c r="BI92" s="163"/>
      <c r="BJ92" s="163"/>
      <c r="BK92" s="281" t="str">
        <f>IF(H37=2,"Chosen number of rows","Default number of rows")</f>
        <v>Default number of rows</v>
      </c>
      <c r="BL92" s="281"/>
      <c r="BM92" s="281"/>
      <c r="BN92" s="281"/>
      <c r="BO92" s="248">
        <f>IF(H37&lt;2,      0,         IF(H37=2,         H41,            BY95))</f>
        <v>0</v>
      </c>
      <c r="BP92" s="163"/>
      <c r="BQ92" s="343"/>
      <c r="BR92" s="343"/>
      <c r="BS92" s="343"/>
      <c r="BT92" s="344"/>
      <c r="BU92" s="344"/>
      <c r="BV92" s="344"/>
      <c r="BW92" s="344"/>
      <c r="BX92" s="305"/>
      <c r="BY92" s="343"/>
      <c r="BZ92" s="343"/>
      <c r="CA92" s="343"/>
      <c r="CB92" s="163"/>
      <c r="CC92" s="206"/>
      <c r="CD92" s="31"/>
      <c r="CE92" s="9"/>
      <c r="CF92" s="12"/>
      <c r="CG92" s="12"/>
      <c r="CH92" s="12"/>
      <c r="CI92" s="12"/>
      <c r="CJ92" s="12"/>
      <c r="CK92" s="12"/>
      <c r="CL92" s="7"/>
      <c r="CM92" s="7"/>
      <c r="CN92" s="5"/>
      <c r="CO92" s="7"/>
      <c r="CP92" s="12"/>
      <c r="CQ92" s="15"/>
      <c r="CR92" s="15"/>
      <c r="CS92" s="7"/>
      <c r="CT92" s="7"/>
      <c r="CU92" s="7"/>
      <c r="CV92" s="7"/>
      <c r="CW92" s="7"/>
      <c r="CX92" s="7"/>
      <c r="CY92" s="7"/>
    </row>
    <row r="93" spans="2:103" ht="15" customHeight="1" x14ac:dyDescent="0.25">
      <c r="B93" s="98"/>
      <c r="C93" s="99"/>
      <c r="D93" s="99"/>
      <c r="E93" s="99"/>
      <c r="F93" s="99"/>
      <c r="G93" s="99"/>
      <c r="H93" s="99"/>
      <c r="I93" s="99"/>
      <c r="J93" s="99"/>
      <c r="K93" s="99"/>
      <c r="L93" s="100"/>
      <c r="M93" s="11"/>
      <c r="N93" s="120"/>
      <c r="O93" s="121"/>
      <c r="P93" s="122"/>
      <c r="Q93" s="121"/>
      <c r="R93" s="121"/>
      <c r="S93" s="122"/>
      <c r="T93" s="121"/>
      <c r="U93" s="123" t="s">
        <v>55</v>
      </c>
      <c r="V93" s="323">
        <f>IF(H51="yes",           IF(H15="Imperial",             ((V77+(2*V81)+10)*(V79+(2*V81)+10))/9,                (V77+(2*V81)+3.05)*(V79+(2*V81)+3.05)),            0)</f>
        <v>0</v>
      </c>
      <c r="W93" s="323"/>
      <c r="X93" s="323"/>
      <c r="Y93" s="124" t="str">
        <f>IF($H$15="Imperial","Square Yards", "Square Meters")</f>
        <v>Square Yards</v>
      </c>
      <c r="Z93" s="125"/>
      <c r="AA93" s="121"/>
      <c r="AB93" s="126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63"/>
      <c r="AV93" s="163"/>
      <c r="AW93" s="304"/>
      <c r="AX93" s="206" t="str">
        <f>IF($H$15="Imperial","Storage Volume (ft²)","Storage Volume (m²)")</f>
        <v>Storage Volume (ft²)</v>
      </c>
      <c r="AY93" s="279">
        <f>IF($H$15="Imperial",             IF($H$19="SC-18",             22.47,          IF(H19="SC-44",       103.1,           IF(H19="SC-34E",        77.6,         74.53))),                      IF($H$19="SC-18",             0.64,                                   IF(H19="SC-44",         2.92,         IF(H19="SC-34E",        2.2,          2.11))))</f>
        <v>77.599999999999994</v>
      </c>
      <c r="AZ93" s="279">
        <f>IF($H$15="Imperial",              (((AZ89*AZ91*AZ92)/1728)-AY93)*($H$33/100),              ((((AZ89*AZ91*AZ92)/1000000000)-AY93)*($H$33/100)))</f>
        <v>-31.04</v>
      </c>
      <c r="BA93" s="279">
        <f>IF($H$15="Imperial",                    ((((BA89*BA91*BA92)/1728)-AY93)*($H$33/100)),                     ((((BA89*BA91*AY92)/1000000000)-AY93)*($H$33/100))+0.18)</f>
        <v>-31.04</v>
      </c>
      <c r="BB93" s="279">
        <f>AY93+AZ93</f>
        <v>46.559999999999995</v>
      </c>
      <c r="BC93" s="279">
        <f>AY93+BA93</f>
        <v>46.559999999999995</v>
      </c>
      <c r="BD93" s="279">
        <f>IF($H$15="Imperial",        IF($H$19="SC-18",             21.36,            IF(H19="SC-44",         94.02,         IF(H19="SC-34E",         72.8,         69.83))),              IF($H$19="SC-18",             0.6,               IF(H19="SC-44",        2.66,        IF(H19="SC-34E",        2.06,         1.98))))</f>
        <v>72.8</v>
      </c>
      <c r="BE93" s="279">
        <f>IF($H$15="Imperial",                    ((((BE89*BE91*BE92)/1728)-BD93)*($H$33/100)),                          ((((BE89*BE91*BE92)/1000000000)-BD93)*($H$33/100)))</f>
        <v>-29.12</v>
      </c>
      <c r="BF93" s="279">
        <f>IF($H$15="Imperial",                    ((((BF89*BF91*BF92)/1728)-BD93)*($H$33/100)),                     ((((BF89*BF91*BF92)/1000000000)-BD93)*($H$33/100)))</f>
        <v>-29.12</v>
      </c>
      <c r="BG93" s="279">
        <f>BD93+BE93</f>
        <v>43.679999999999993</v>
      </c>
      <c r="BH93" s="279">
        <f>BD93+BF93</f>
        <v>43.679999999999993</v>
      </c>
      <c r="BI93" s="163"/>
      <c r="BJ93" s="163"/>
      <c r="BK93" s="281" t="str">
        <f>IF($H$23=1,"Min number of chambers per full Row","Max number of chambers per Row")</f>
        <v>Max number of chambers per Row</v>
      </c>
      <c r="BL93" s="281"/>
      <c r="BM93" s="281"/>
      <c r="BN93" s="281"/>
      <c r="BO93" s="248">
        <f>BT118</f>
        <v>0</v>
      </c>
      <c r="BP93" s="163"/>
      <c r="BQ93" s="343"/>
      <c r="BR93" s="343"/>
      <c r="BS93" s="343"/>
      <c r="BT93" s="344"/>
      <c r="BU93" s="344"/>
      <c r="BV93" s="344"/>
      <c r="BW93" s="344"/>
      <c r="BX93" s="305"/>
      <c r="BY93" s="343" t="str">
        <f>IF(BT2=1,      "Maximum Number of Rows",                 "Minimum Number of Rows")</f>
        <v>Minimum Number of Rows</v>
      </c>
      <c r="BZ93" s="343"/>
      <c r="CA93" s="344" t="str">
        <f>IF(BT2=1,             "N/A",                "Maximum Number of Chambers per Full Row")</f>
        <v>Maximum Number of Chambers per Full Row</v>
      </c>
      <c r="CB93" s="163"/>
      <c r="CC93" s="206"/>
      <c r="CD93" s="31"/>
      <c r="CE93" s="9"/>
      <c r="CF93" s="12"/>
      <c r="CG93" s="12"/>
      <c r="CH93" s="12"/>
      <c r="CI93" s="12"/>
      <c r="CJ93" s="12"/>
      <c r="CK93" s="12"/>
      <c r="CL93" s="7"/>
      <c r="CM93" s="7"/>
      <c r="CN93" s="5"/>
      <c r="CO93" s="7"/>
      <c r="CP93" s="12"/>
      <c r="CQ93" s="12"/>
      <c r="CR93" s="15"/>
      <c r="CS93" s="7"/>
      <c r="CT93" s="7"/>
      <c r="CU93" s="7"/>
      <c r="CV93" s="7"/>
      <c r="CW93" s="7"/>
      <c r="CX93" s="7"/>
      <c r="CY93" s="7"/>
    </row>
    <row r="94" spans="2:103" ht="15" customHeight="1" x14ac:dyDescent="0.25">
      <c r="B94" s="101"/>
      <c r="C94" s="102"/>
      <c r="D94" s="102"/>
      <c r="E94" s="102"/>
      <c r="F94" s="102"/>
      <c r="G94" s="102"/>
      <c r="H94" s="102"/>
      <c r="I94" s="102"/>
      <c r="J94" s="102"/>
      <c r="K94" s="102"/>
      <c r="L94" s="103"/>
      <c r="M94" s="11"/>
      <c r="N94" s="104"/>
      <c r="O94" s="105"/>
      <c r="P94" s="105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106"/>
      <c r="AB94" s="107"/>
      <c r="AC94" s="22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63"/>
      <c r="AV94" s="163"/>
      <c r="AW94" s="358" t="s">
        <v>66</v>
      </c>
      <c r="AX94" s="358"/>
      <c r="AY94" s="358"/>
      <c r="AZ94" s="206">
        <f>IF(H37&lt;3,       0,         AZ91*AZ89*AZ92)</f>
        <v>0</v>
      </c>
      <c r="BA94" s="206">
        <f>IF(H37&lt;3,      0,        BA91*BA89*BA92)</f>
        <v>0</v>
      </c>
      <c r="BB94" s="274">
        <f>IF(H15="Imperial",         IF(H37&lt;3,        0,           (BB93*1728)/AZ94),           IF(H37&lt;3,       0,            (BB93*1000000000)/AZ94))</f>
        <v>0</v>
      </c>
      <c r="BC94" s="274">
        <f>IF(H15="Imperial",         IF(H37&lt;3,       0,          (BC93*1728)/BA94),         IF(H37&lt;3,        0,         (BC93*1000000000)/BA94))</f>
        <v>0</v>
      </c>
      <c r="BD94" s="206"/>
      <c r="BE94" s="206">
        <f>IF(H37&lt;3,      0,         BE89*BE91*BE92)</f>
        <v>0</v>
      </c>
      <c r="BF94" s="206">
        <f>IF(H37&lt;3,          0,        BF89*BF91*BF92)</f>
        <v>0</v>
      </c>
      <c r="BG94" s="206">
        <f>IF(H15="Imperial",         IF(H37&lt;3,         0,           (BG93*1728)/BE94),          IF(H37&lt;3,         0,         (BG93*1000000000)/BE94))</f>
        <v>0</v>
      </c>
      <c r="BH94" s="206">
        <f>IF(H15="Imperial",        IF(H37&lt;3,      0,         (BH93*1728)/BF94),        IF(H37&lt;3,         0,          (BH93*1000000000)/BF94))</f>
        <v>0</v>
      </c>
      <c r="BI94" s="163"/>
      <c r="BJ94" s="163"/>
      <c r="BK94" s="281" t="s">
        <v>42</v>
      </c>
      <c r="BL94" s="281"/>
      <c r="BM94" s="281"/>
      <c r="BN94" s="281"/>
      <c r="BO94" s="248">
        <f>BT115</f>
        <v>0</v>
      </c>
      <c r="BP94" s="163"/>
      <c r="BQ94" s="305">
        <f>BQ81</f>
        <v>0</v>
      </c>
      <c r="BR94" s="305">
        <f>BO92</f>
        <v>0</v>
      </c>
      <c r="BS94" s="305">
        <f>IF(BR94=1,       1,        2)</f>
        <v>2</v>
      </c>
      <c r="BT94" s="341">
        <f>IF(BR94&lt;3,      0,        BR94-2)</f>
        <v>0</v>
      </c>
      <c r="BU94" s="341">
        <f>IF(BR94=1,       IF(BQ94&lt;=AZ23,       AZ23,      BG23/2),                     IF(BR94=2,       IF(BQ94&lt;=BD23,        BD23,   2*BB81),                  IF(BQ94&lt;=(BD23+(BT94*BH27)),                          BD23,         2*BB81)))</f>
        <v>98.88000000000001</v>
      </c>
      <c r="BV94" s="341"/>
      <c r="BW94" s="341">
        <f>IF(BT94=0,           0,        IF((BQ94-BU94)&lt;=(BT94*BH27),             BT94*BH27,   BT94*BC81))</f>
        <v>0</v>
      </c>
      <c r="BX94" s="305"/>
      <c r="BY94" s="343"/>
      <c r="BZ94" s="343"/>
      <c r="CA94" s="344"/>
      <c r="CB94" s="163"/>
      <c r="CC94" s="235"/>
      <c r="CD94" s="8"/>
      <c r="CE94" s="8"/>
      <c r="CF94" s="8"/>
      <c r="CG94" s="8"/>
      <c r="CH94" s="8"/>
      <c r="CI94" s="8"/>
      <c r="CJ94" s="17"/>
      <c r="CK94" s="8"/>
      <c r="CL94" s="8"/>
      <c r="CM94" s="7"/>
      <c r="CN94" s="5"/>
      <c r="CO94" s="7"/>
      <c r="CP94" s="12"/>
      <c r="CQ94" s="12"/>
      <c r="CR94" s="15"/>
      <c r="CS94" s="7"/>
      <c r="CT94" s="7"/>
      <c r="CU94" s="7"/>
      <c r="CV94" s="7"/>
      <c r="CW94" s="7"/>
      <c r="CX94" s="7"/>
      <c r="CY94" s="7"/>
    </row>
    <row r="95" spans="2:103" ht="15" customHeight="1" x14ac:dyDescent="0.25">
      <c r="B95" s="15"/>
      <c r="C95" s="11"/>
      <c r="D95" s="11"/>
      <c r="E95" s="11"/>
      <c r="F95" s="11"/>
      <c r="G95" s="11"/>
      <c r="H95" s="11"/>
      <c r="I95" s="11"/>
      <c r="J95" s="15"/>
      <c r="K95" s="15"/>
      <c r="L95" s="15"/>
      <c r="M95" s="11"/>
      <c r="N95" s="38"/>
      <c r="AB95" s="38"/>
      <c r="AC95" s="11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63"/>
      <c r="AV95" s="163"/>
      <c r="AW95" s="310" t="str">
        <f>IF($H$37=4,"Bottom Layer","")</f>
        <v/>
      </c>
      <c r="AX95" s="310"/>
      <c r="AY95" s="310" t="s">
        <v>25</v>
      </c>
      <c r="AZ95" s="310"/>
      <c r="BA95" s="310"/>
      <c r="BB95" s="310"/>
      <c r="BC95" s="310"/>
      <c r="BD95" s="310" t="s">
        <v>24</v>
      </c>
      <c r="BE95" s="310"/>
      <c r="BF95" s="310"/>
      <c r="BG95" s="310"/>
      <c r="BH95" s="310"/>
      <c r="BI95" s="163"/>
      <c r="BJ95" s="163"/>
      <c r="BK95" s="208" t="s">
        <v>139</v>
      </c>
      <c r="BL95" s="208"/>
      <c r="BM95" s="208"/>
      <c r="BN95" s="208"/>
      <c r="BO95" s="212" t="str">
        <f>IF(BT116=0,    "no",        "yes")</f>
        <v>no</v>
      </c>
      <c r="BP95" s="244"/>
      <c r="BQ95" s="305"/>
      <c r="BR95" s="305"/>
      <c r="BS95" s="305"/>
      <c r="BT95" s="341"/>
      <c r="BU95" s="341"/>
      <c r="BV95" s="341"/>
      <c r="BW95" s="341"/>
      <c r="BX95" s="305"/>
      <c r="BY95" s="305">
        <f>IF(BT2=1,            BX81,        BU88)</f>
        <v>1</v>
      </c>
      <c r="BZ95" s="305"/>
      <c r="CA95" s="309">
        <f>IF(BT2=1,         0,                             BX81)</f>
        <v>1</v>
      </c>
      <c r="CB95" s="244"/>
      <c r="CC95" s="235"/>
      <c r="CD95" s="8"/>
      <c r="CE95" s="8"/>
      <c r="CF95" s="8"/>
      <c r="CG95" s="8"/>
      <c r="CH95" s="8"/>
      <c r="CI95" s="8"/>
      <c r="CJ95" s="17"/>
      <c r="CK95" s="8"/>
      <c r="CL95" s="8"/>
      <c r="CM95" s="7"/>
      <c r="CN95" s="5"/>
      <c r="CO95" s="7"/>
      <c r="CP95" s="12"/>
      <c r="CQ95" s="12"/>
      <c r="CR95" s="7"/>
      <c r="CS95" s="7"/>
      <c r="CT95" s="7"/>
      <c r="CU95" s="7"/>
      <c r="CV95" s="7"/>
      <c r="CW95" s="7"/>
      <c r="CX95" s="7"/>
      <c r="CY95" s="7"/>
    </row>
    <row r="96" spans="2:103" ht="15" customHeight="1" x14ac:dyDescent="0.25">
      <c r="B96" s="108">
        <f>H31</f>
        <v>18</v>
      </c>
      <c r="C96" s="11" t="str">
        <f>IF(H15="Imperial",    "Inches",  "mm")</f>
        <v>Inches</v>
      </c>
      <c r="D96" s="11"/>
      <c r="E96" s="11"/>
      <c r="F96" s="11"/>
      <c r="G96" s="11"/>
      <c r="J96" s="22"/>
      <c r="K96" s="11"/>
      <c r="L96" s="11"/>
      <c r="M96" s="15"/>
      <c r="N96" s="37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63"/>
      <c r="AV96" s="163"/>
      <c r="AW96" s="272"/>
      <c r="AX96" s="272"/>
      <c r="AY96" s="303" t="s">
        <v>8</v>
      </c>
      <c r="AZ96" s="302" t="s">
        <v>20</v>
      </c>
      <c r="BA96" s="302" t="s">
        <v>22</v>
      </c>
      <c r="BB96" s="302" t="s">
        <v>21</v>
      </c>
      <c r="BC96" s="302" t="s">
        <v>23</v>
      </c>
      <c r="BD96" s="303" t="s">
        <v>8</v>
      </c>
      <c r="BE96" s="302" t="s">
        <v>20</v>
      </c>
      <c r="BF96" s="302" t="s">
        <v>22</v>
      </c>
      <c r="BG96" s="302" t="s">
        <v>21</v>
      </c>
      <c r="BH96" s="302" t="s">
        <v>23</v>
      </c>
      <c r="BI96" s="163"/>
      <c r="BJ96" s="163"/>
      <c r="BK96" s="208" t="s">
        <v>158</v>
      </c>
      <c r="BL96" s="208"/>
      <c r="BM96" s="208"/>
      <c r="BN96" s="208"/>
      <c r="BO96" s="259">
        <f>BO79+BO82+BO85+BO88</f>
        <v>0</v>
      </c>
      <c r="BP96" s="244"/>
      <c r="BQ96" s="341" t="s">
        <v>123</v>
      </c>
      <c r="BR96" s="341"/>
      <c r="BS96" s="344" t="s">
        <v>113</v>
      </c>
      <c r="BT96" s="344" t="s">
        <v>114</v>
      </c>
      <c r="BU96" s="344"/>
      <c r="BV96" s="343" t="s">
        <v>115</v>
      </c>
      <c r="BW96" s="343"/>
      <c r="BX96" s="305"/>
      <c r="BY96" s="305"/>
      <c r="BZ96" s="305"/>
      <c r="CA96" s="309"/>
      <c r="CB96" s="244"/>
      <c r="CC96" s="206"/>
      <c r="CD96" s="9"/>
      <c r="CE96" s="9"/>
      <c r="CF96" s="9"/>
      <c r="CG96" s="9"/>
      <c r="CH96" s="9"/>
      <c r="CI96" s="9"/>
      <c r="CJ96" s="17"/>
      <c r="CK96" s="9"/>
      <c r="CL96" s="9"/>
      <c r="CM96" s="7"/>
      <c r="CN96" s="5"/>
      <c r="CO96" s="7"/>
      <c r="CP96" s="12"/>
      <c r="CQ96" s="12"/>
      <c r="CR96" s="7"/>
      <c r="CS96" s="7"/>
      <c r="CT96" s="7"/>
      <c r="CU96" s="7"/>
      <c r="CV96" s="7"/>
      <c r="CW96" s="7"/>
      <c r="CX96" s="7"/>
      <c r="CY96" s="7"/>
    </row>
    <row r="97" spans="2:103" ht="15" customHeight="1" x14ac:dyDescent="0.25">
      <c r="D97" s="11"/>
      <c r="E97" s="11"/>
      <c r="F97" s="11"/>
      <c r="G97" s="11"/>
      <c r="H97" s="39"/>
      <c r="I97" s="110"/>
      <c r="J97" s="15"/>
      <c r="K97" s="15"/>
      <c r="L97" s="15"/>
      <c r="M97" s="15"/>
      <c r="N97" s="11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08">
        <f>H31</f>
        <v>18</v>
      </c>
      <c r="Z97" s="11" t="str">
        <f>IF(H15="Imperial",    "Inches",  "mm")</f>
        <v>Inches</v>
      </c>
      <c r="AB97" s="11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63"/>
      <c r="AV97" s="163"/>
      <c r="AW97" s="304" t="str">
        <f>IF($H$37&gt;3,$H$19,"")</f>
        <v/>
      </c>
      <c r="AX97" s="206"/>
      <c r="AY97" s="303"/>
      <c r="AZ97" s="302"/>
      <c r="BA97" s="302"/>
      <c r="BB97" s="302"/>
      <c r="BC97" s="302"/>
      <c r="BD97" s="303"/>
      <c r="BE97" s="302"/>
      <c r="BF97" s="302"/>
      <c r="BG97" s="302"/>
      <c r="BH97" s="302"/>
      <c r="BI97" s="163"/>
      <c r="BJ97" s="163"/>
      <c r="BK97" s="361" t="s">
        <v>43</v>
      </c>
      <c r="BL97" s="361"/>
      <c r="BM97" s="361"/>
      <c r="BN97" s="361"/>
      <c r="BO97" s="246">
        <f>IF(H37&lt;2,         0,        IF(H15="Imperial",      IF(BO93=1,            (AZ5+H55+H55)/12,                          IF(BO93=2,         (2*AZ79)/12,                      (((BO93-2)*BE79)+(2*AZ79))/12)),                                                                                                            IF(BO93=1,                     (AZ5+H55+H55)/1000,               IF(BO93=2,         (BO93*AZ79)/1000,         (((BO93-2)*BE79)+(2*AZ79))/1000))))</f>
        <v>0</v>
      </c>
      <c r="BP97" s="244"/>
      <c r="BQ97" s="341"/>
      <c r="BR97" s="341"/>
      <c r="BS97" s="344"/>
      <c r="BT97" s="344"/>
      <c r="BU97" s="344"/>
      <c r="BV97" s="343"/>
      <c r="BW97" s="343"/>
      <c r="BX97" s="305"/>
      <c r="BY97" s="343" t="s">
        <v>105</v>
      </c>
      <c r="BZ97" s="343"/>
      <c r="CA97" s="343"/>
      <c r="CB97" s="244"/>
      <c r="CC97" s="206"/>
      <c r="CD97" s="9"/>
      <c r="CE97" s="9"/>
      <c r="CF97" s="9"/>
      <c r="CG97" s="9"/>
      <c r="CH97" s="9"/>
      <c r="CI97" s="9"/>
      <c r="CJ97" s="17"/>
      <c r="CK97" s="9"/>
      <c r="CL97" s="9"/>
      <c r="CM97" s="7"/>
      <c r="CN97" s="5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</row>
    <row r="98" spans="2:103" ht="15" customHeight="1" x14ac:dyDescent="0.25">
      <c r="B98" s="108">
        <f>H27</f>
        <v>6</v>
      </c>
      <c r="C98" s="11" t="str">
        <f>IF(H15="Imperial",    "Inches",  "mm")</f>
        <v>Inches</v>
      </c>
      <c r="D98" s="11"/>
      <c r="E98" s="11"/>
      <c r="F98" s="11"/>
      <c r="G98" s="11"/>
      <c r="J98" s="22"/>
      <c r="K98" s="11"/>
      <c r="L98" s="11"/>
      <c r="M98" s="15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95"/>
      <c r="Z98" s="195"/>
      <c r="AA98" s="111"/>
      <c r="AB98" s="18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63"/>
      <c r="AV98" s="163"/>
      <c r="AW98" s="304"/>
      <c r="AX98" s="206"/>
      <c r="AY98" s="303"/>
      <c r="AZ98" s="302"/>
      <c r="BA98" s="302"/>
      <c r="BB98" s="302"/>
      <c r="BC98" s="302"/>
      <c r="BD98" s="303"/>
      <c r="BE98" s="302"/>
      <c r="BF98" s="302"/>
      <c r="BG98" s="302"/>
      <c r="BH98" s="302"/>
      <c r="BI98" s="163"/>
      <c r="BJ98" s="163"/>
      <c r="BK98" s="361" t="s">
        <v>44</v>
      </c>
      <c r="BL98" s="361"/>
      <c r="BM98" s="361"/>
      <c r="BN98" s="361"/>
      <c r="BO98" s="242">
        <f>IF(H37&lt;2,     0,         IF(H15="Imperial",       IF(BO92=1,                    (AZ77+H55-(H45/2))/12,                        IF(BO92=2,             (2*AZ77)/12,                   (((BO92-2)*BA77)+(2*AZ77))/12)),                                                                                                               IF(BO92=1,                                     (AZ77+H55-(H45/2))/1000,               IF(BO92=2,             (2*AZ77)/1000,              (((BO92-2)*BA77)+(2*AZ77))/1000))))</f>
        <v>0</v>
      </c>
      <c r="BP98" s="244"/>
      <c r="BQ98" s="341"/>
      <c r="BR98" s="341"/>
      <c r="BS98" s="344"/>
      <c r="BT98" s="344"/>
      <c r="BU98" s="344"/>
      <c r="BV98" s="343"/>
      <c r="BW98" s="343"/>
      <c r="BX98" s="305"/>
      <c r="BY98" s="343"/>
      <c r="BZ98" s="343"/>
      <c r="CA98" s="343"/>
      <c r="CB98" s="244"/>
      <c r="CC98" s="235"/>
      <c r="CD98" s="8"/>
      <c r="CE98" s="8"/>
      <c r="CF98" s="8"/>
      <c r="CG98" s="8"/>
      <c r="CH98" s="8"/>
      <c r="CI98" s="8"/>
      <c r="CJ98" s="8"/>
      <c r="CK98" s="8"/>
      <c r="CL98" s="8"/>
      <c r="CM98" s="7"/>
      <c r="CN98" s="5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</row>
    <row r="99" spans="2:103" ht="15" customHeight="1" x14ac:dyDescent="0.25">
      <c r="B99" s="18"/>
      <c r="C99" s="18"/>
      <c r="D99" s="18"/>
      <c r="E99" s="18"/>
      <c r="F99" s="18"/>
      <c r="G99" s="18"/>
      <c r="H99" s="18"/>
      <c r="I99" s="18"/>
      <c r="J99" s="15"/>
      <c r="K99" s="15"/>
      <c r="L99" s="15"/>
      <c r="M99" s="15"/>
      <c r="N99" s="11"/>
      <c r="O99" s="15"/>
      <c r="P99" s="15"/>
      <c r="Q99" s="15"/>
      <c r="R99" s="15"/>
      <c r="S99" s="112"/>
      <c r="T99" s="112"/>
      <c r="U99" s="112"/>
      <c r="V99" s="112"/>
      <c r="W99" s="112"/>
      <c r="X99" s="112"/>
      <c r="Y99" s="108">
        <f>H27</f>
        <v>6</v>
      </c>
      <c r="Z99" s="11" t="str">
        <f>IF(H15="Imperial",    "Inches",  "mm")</f>
        <v>Inches</v>
      </c>
      <c r="AB99" s="11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63"/>
      <c r="AV99" s="163"/>
      <c r="AW99" s="304"/>
      <c r="AX99" s="305" t="str">
        <f>IF($H$15="Imperial","Height (in)","Height (mm)")</f>
        <v>Height (in)</v>
      </c>
      <c r="AY99" s="306">
        <f>IF($H$15="Imperial",         IF($H$19="SC-18",             18,            IF($H$19="SC-44",         44,         34)),          IF($H$19="SC-18",             457,           IF($H$19="SC-44",         1117,        864)))</f>
        <v>34</v>
      </c>
      <c r="AZ99" s="306">
        <f>IF($H$37&lt;3,          0,            AY99+$H$29+($H$39/2))</f>
        <v>0</v>
      </c>
      <c r="BA99" s="306">
        <f>IF($H$37&lt;3,         0,        AY99+$H$29+($H$39/2))</f>
        <v>0</v>
      </c>
      <c r="BB99" s="307"/>
      <c r="BC99" s="307"/>
      <c r="BD99" s="306">
        <f>IF($H$15="Imperial",        IF($H$19="SC-18",             18,           IF($H$19="SC-44",      44,       34)),         IF($H$19="SC-18",             457,           IF($H$19="SC-44",        1117,      864)))</f>
        <v>34</v>
      </c>
      <c r="BE99" s="306">
        <f>IF($H$37&lt;3,       0,             BD99+$H$29+($H$39/2))</f>
        <v>0</v>
      </c>
      <c r="BF99" s="306">
        <f>IF($H$37&lt;3,        0,         BD99+$H$29+($H$39/2))</f>
        <v>0</v>
      </c>
      <c r="BG99" s="307"/>
      <c r="BH99" s="307"/>
      <c r="BI99" s="163"/>
      <c r="BJ99" s="163"/>
      <c r="BK99" s="262" t="s">
        <v>227</v>
      </c>
      <c r="BL99" s="263">
        <f>BM79+BM82+BM85+BM88</f>
        <v>0</v>
      </c>
      <c r="BM99" s="424" t="s">
        <v>228</v>
      </c>
      <c r="BN99" s="424"/>
      <c r="BO99" s="246">
        <f>BN79+BN82+BN85+BN88</f>
        <v>0</v>
      </c>
      <c r="BP99" s="244"/>
      <c r="BQ99" s="341"/>
      <c r="BR99" s="341"/>
      <c r="BS99" s="305">
        <f>IF(BR94=1,         IF(BQ94&lt;=AZ23,       1,        2),                 IF(BR94=2,              IF(BQ94&lt;=BD23,            1,           2),                IF(BQ94&lt;=(BD23+(BT94*BH27)),        1,      2)))</f>
        <v>1</v>
      </c>
      <c r="BT99" s="305">
        <f>IF(BQ94&lt;=(2*(BU94+BW94)),     0,     IF(AND(BR94=1,BQ94&lt;=BG23), 0,  IF(H15="Imperial",      IF(BR94=1,        ROUNDUP((BQ94-(BG23))/(BG81+((((H55-(H45/2))*BE75*BE79)/1728)*(H33/100))),0),                                        IF(BR94=2,             ROUNDUP((BQ94-(2*BU94))/(2*BG81),0),                   ROUNDUP((BQ94-(2*(BU94+BW94)))/((2*BG81)+(BT94*BH81)),0))),                                                                                                                                                                                                           IF(BR94=1,                        ROUNDUP((BQ94-(BG23))/(BG81+((((H55-(H45/2))*BE75*BE79)/1000000000)*(H33/100))),0),                                                                                                                                                             IF(BR94=2,                        ROUNDUP((BQ94-(2*BU94))/(2*BG81),0),            ROUNDUP((BQ94-(2*(BU94+BW94)))/((2*BG81)+(BT94*BH81)),0))))))</f>
        <v>0</v>
      </c>
      <c r="BU99" s="305"/>
      <c r="BV99" s="305">
        <f>BS99+BT99</f>
        <v>1</v>
      </c>
      <c r="BW99" s="305"/>
      <c r="BX99" s="305"/>
      <c r="BY99" s="344" t="s">
        <v>106</v>
      </c>
      <c r="BZ99" s="344"/>
      <c r="CA99" s="308" t="s">
        <v>107</v>
      </c>
      <c r="CB99" s="244"/>
      <c r="CC99" s="235"/>
      <c r="CD99" s="8"/>
      <c r="CE99" s="8"/>
      <c r="CF99" s="8"/>
      <c r="CG99" s="8"/>
      <c r="CH99" s="8"/>
      <c r="CI99" s="8"/>
      <c r="CJ99" s="8"/>
      <c r="CK99" s="8"/>
      <c r="CL99" s="8"/>
      <c r="CM99" s="3"/>
      <c r="CN99" s="21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</row>
    <row r="100" spans="2:103" ht="15" customHeight="1" x14ac:dyDescent="0.25">
      <c r="B100" s="15"/>
      <c r="C100" s="15"/>
      <c r="D100" s="15"/>
      <c r="E100" s="15"/>
      <c r="F100" s="15"/>
      <c r="G100" s="15"/>
      <c r="H100" s="15"/>
      <c r="I100" s="15"/>
      <c r="J100" s="11"/>
      <c r="K100" s="11"/>
      <c r="L100" s="15"/>
      <c r="M100" s="11"/>
      <c r="N100" s="11"/>
      <c r="O100" s="11"/>
      <c r="P100" s="11"/>
      <c r="Q100" s="11"/>
      <c r="R100" s="11"/>
      <c r="S100" s="15"/>
      <c r="T100" s="15"/>
      <c r="U100" s="15"/>
      <c r="V100" s="15"/>
      <c r="W100" s="15"/>
      <c r="X100" s="15"/>
      <c r="Z100" s="11"/>
      <c r="AA100" s="18"/>
      <c r="AB100" s="18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63"/>
      <c r="AV100" s="163"/>
      <c r="AW100" s="304"/>
      <c r="AX100" s="305"/>
      <c r="AY100" s="306"/>
      <c r="AZ100" s="306"/>
      <c r="BA100" s="306"/>
      <c r="BB100" s="307"/>
      <c r="BC100" s="307"/>
      <c r="BD100" s="306"/>
      <c r="BE100" s="306"/>
      <c r="BF100" s="306"/>
      <c r="BG100" s="307"/>
      <c r="BH100" s="307"/>
      <c r="BI100" s="163"/>
      <c r="BJ100" s="163"/>
      <c r="BK100" s="263"/>
      <c r="BL100" s="263"/>
      <c r="BM100" s="263"/>
      <c r="BN100" s="263"/>
      <c r="BO100" s="248"/>
      <c r="BP100" s="244"/>
      <c r="BQ100" s="341"/>
      <c r="BR100" s="341"/>
      <c r="BS100" s="305"/>
      <c r="BT100" s="305"/>
      <c r="BU100" s="305"/>
      <c r="BV100" s="305"/>
      <c r="BW100" s="305"/>
      <c r="BX100" s="305"/>
      <c r="BY100" s="344"/>
      <c r="BZ100" s="344"/>
      <c r="CA100" s="308"/>
      <c r="CB100" s="244"/>
      <c r="CC100" s="206"/>
      <c r="CD100" s="9"/>
      <c r="CE100" s="9"/>
      <c r="CF100" s="9"/>
      <c r="CG100" s="9"/>
      <c r="CH100" s="9"/>
      <c r="CI100" s="9"/>
      <c r="CJ100" s="12"/>
      <c r="CK100" s="3"/>
      <c r="CL100" s="3"/>
      <c r="CM100" s="3"/>
      <c r="CN100" s="21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</row>
    <row r="101" spans="2:103" ht="15" customHeight="1" x14ac:dyDescent="0.25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1"/>
      <c r="T101" s="11"/>
      <c r="U101" s="11"/>
      <c r="V101" s="11"/>
      <c r="W101" s="11"/>
      <c r="X101" s="11"/>
      <c r="Z101" s="11"/>
      <c r="AA101" s="18"/>
      <c r="AB101" s="41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63"/>
      <c r="AV101" s="163"/>
      <c r="AW101" s="304"/>
      <c r="AX101" s="206" t="str">
        <f>IF($H$15="Imperial","Width (in)","Width (mm)")</f>
        <v>Width (in)</v>
      </c>
      <c r="AY101" s="279">
        <f>IF($H$15="Imperial",          IF($H$19="SC-18",             38,          IF($H$19="SC-44",       78,       60)),          IF($H$19="SC-18",             965,          IF($H$19="SC-44",      1981,       1524)))</f>
        <v>60</v>
      </c>
      <c r="AZ101" s="279">
        <f>IF(H15="Imperial",                AY101+($H$45/2)+(H55),                AY101+($H$45/2)+(H55))</f>
        <v>76.5</v>
      </c>
      <c r="BA101" s="279">
        <f>AY101+$H$45</f>
        <v>69</v>
      </c>
      <c r="BB101" s="280"/>
      <c r="BC101" s="279"/>
      <c r="BD101" s="279">
        <f>IF($H$15="Imperial",          IF($H$19="SC-18",             37,          IF($H$19="SC-44",       78,       60)),              IF($H$19="SC-18",             940,              IF($H$19="SC-44",      1981,       1524)))</f>
        <v>60</v>
      </c>
      <c r="BE101" s="279">
        <f>IF(H15="imperial",             BD101+($H$45/2)+(H55),               BD101+($H$45/2)+(H55))</f>
        <v>76.5</v>
      </c>
      <c r="BF101" s="279">
        <f>BD101+$H$45</f>
        <v>69</v>
      </c>
      <c r="BG101" s="280"/>
      <c r="BH101" s="279"/>
      <c r="BI101" s="163"/>
      <c r="BJ101" s="163"/>
      <c r="BK101" s="249"/>
      <c r="BL101" s="302" t="s">
        <v>62</v>
      </c>
      <c r="BM101" s="302"/>
      <c r="BN101" s="302"/>
      <c r="BO101" s="246">
        <f>BL79+BL82+BL85+BL88</f>
        <v>0</v>
      </c>
      <c r="BP101" s="244"/>
      <c r="BQ101" s="343" t="s">
        <v>124</v>
      </c>
      <c r="BR101" s="343" t="s">
        <v>125</v>
      </c>
      <c r="BS101" s="344" t="s">
        <v>149</v>
      </c>
      <c r="BT101" s="344" t="s">
        <v>196</v>
      </c>
      <c r="BU101" s="344"/>
      <c r="BV101" s="344"/>
      <c r="BW101" s="344"/>
      <c r="BX101" s="305"/>
      <c r="BY101" s="305">
        <f>IF(H37=1,      0,             IF(H37=2,               H41,         BY95))</f>
        <v>0</v>
      </c>
      <c r="BZ101" s="305"/>
      <c r="CA101" s="309">
        <f>BV99</f>
        <v>1</v>
      </c>
      <c r="CB101" s="244"/>
      <c r="CC101" s="206"/>
      <c r="CD101" s="9"/>
      <c r="CE101" s="9"/>
      <c r="CF101" s="9"/>
      <c r="CG101" s="9"/>
      <c r="CH101" s="9"/>
      <c r="CI101" s="9"/>
      <c r="CJ101" s="12"/>
      <c r="CK101" s="3"/>
      <c r="CL101" s="3"/>
      <c r="CM101" s="3"/>
      <c r="CN101" s="21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</row>
    <row r="102" spans="2:103" ht="15" customHeight="1" x14ac:dyDescent="0.25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5"/>
      <c r="M102" s="15"/>
      <c r="N102" s="11"/>
      <c r="O102" s="11"/>
      <c r="P102" s="11"/>
      <c r="Q102" s="11"/>
      <c r="R102" s="11"/>
      <c r="S102" s="15"/>
      <c r="T102" s="15"/>
      <c r="U102" s="15"/>
      <c r="V102" s="15"/>
      <c r="W102" s="15"/>
      <c r="X102" s="15"/>
      <c r="Z102" s="15"/>
      <c r="AA102" s="18"/>
      <c r="AB102" s="18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63"/>
      <c r="AV102" s="163"/>
      <c r="AW102" s="304"/>
      <c r="AX102" s="206" t="str">
        <f>IF($H$15="Imperial","Installed Length (in)","Installed Length (mm)")</f>
        <v>Installed Length (in)</v>
      </c>
      <c r="AY102" s="279">
        <f>IF($H$15="Imperial",                 IF($H$19="SC-18",             96,                IF($H$19="SC-44",          82.25,               IF($H$19="SC-34E",         97,        95))),                   IF($H$19="SC-18",             2438,                                            IF($H$19="SC-44",         2089,                IF($H$19="SC-34E",          2464,          2413))))</f>
        <v>97</v>
      </c>
      <c r="AZ102" s="279">
        <f>IF(H15="Imperial",         AY102+(H55),             AY102+(H55))</f>
        <v>109</v>
      </c>
      <c r="BA102" s="279">
        <f>IF(H15="Imperial",             AY102+(H55),             AY102+(H55))</f>
        <v>109</v>
      </c>
      <c r="BB102" s="280"/>
      <c r="BC102" s="279"/>
      <c r="BD102" s="279">
        <f>IF($H$15="Imperial",         IF($H$19="SC-18",             91.25,            IF($H$19="SC-44",       75,            IF($H$19="SC-34E",         91,        89))),         IF($H$19="SC-18",             2318,              IF($H$19="SC-44",      1905,            IF($H$19="SC-34E",        2311,        2261))))</f>
        <v>91</v>
      </c>
      <c r="BE102" s="279">
        <f>BD102</f>
        <v>91</v>
      </c>
      <c r="BF102" s="279">
        <f>BD102</f>
        <v>91</v>
      </c>
      <c r="BG102" s="280"/>
      <c r="BH102" s="279"/>
      <c r="BI102" s="163"/>
      <c r="BJ102" s="163"/>
      <c r="BK102" s="249"/>
      <c r="BL102" s="249"/>
      <c r="BM102" s="249"/>
      <c r="BN102" s="249"/>
      <c r="BO102" s="249"/>
      <c r="BP102" s="244"/>
      <c r="BQ102" s="343"/>
      <c r="BR102" s="343"/>
      <c r="BS102" s="344"/>
      <c r="BT102" s="344"/>
      <c r="BU102" s="344"/>
      <c r="BV102" s="344"/>
      <c r="BW102" s="344"/>
      <c r="BX102" s="305"/>
      <c r="BY102" s="305"/>
      <c r="BZ102" s="305"/>
      <c r="CA102" s="309"/>
      <c r="CB102" s="244"/>
      <c r="CC102" s="235"/>
      <c r="CD102" s="8"/>
      <c r="CE102" s="8"/>
      <c r="CF102" s="8"/>
      <c r="CG102" s="8"/>
      <c r="CH102" s="8"/>
      <c r="CI102" s="25"/>
      <c r="CJ102" s="8"/>
      <c r="CK102" s="7"/>
      <c r="CL102" s="7"/>
      <c r="CM102" s="3"/>
      <c r="CN102" s="21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</row>
    <row r="103" spans="2:103" ht="18" customHeight="1" x14ac:dyDescent="0.25">
      <c r="B103" s="18"/>
      <c r="C103" s="18"/>
      <c r="D103" s="18"/>
      <c r="E103" s="18"/>
      <c r="F103" s="18"/>
      <c r="G103" s="18"/>
      <c r="H103" s="18"/>
      <c r="I103" s="18"/>
      <c r="J103" s="15"/>
      <c r="K103" s="15"/>
      <c r="L103" s="15"/>
      <c r="N103" s="15"/>
      <c r="O103" s="15"/>
      <c r="P103" s="15"/>
      <c r="Q103" s="15"/>
      <c r="R103" s="15"/>
      <c r="S103" s="11"/>
      <c r="T103" s="11"/>
      <c r="U103" s="11"/>
      <c r="V103" s="11"/>
      <c r="W103" s="11"/>
      <c r="X103" s="11"/>
      <c r="Z103" s="11"/>
      <c r="AA103" s="18"/>
      <c r="AB103" s="18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U103" s="163"/>
      <c r="AV103" s="163"/>
      <c r="AW103" s="304"/>
      <c r="AX103" s="206" t="str">
        <f>IF($H$15="Imperial","Storage Volume (ft²)","Storage Volume (m²)")</f>
        <v>Storage Volume (ft²)</v>
      </c>
      <c r="AY103" s="279">
        <f>IF($H$15="Imperial",             IF($H$19="SC-18",             22.47,          IF(H19="SC-44",       103.1,           IF(H19="SC-34E",        77.6,         74.53))),                      IF($H$19="SC-18",             0.64,                                   IF(H19="SC-44",         2.92,         IF(H19="SC-34E",        2.2,          2.11))))</f>
        <v>77.599999999999994</v>
      </c>
      <c r="AZ103" s="279">
        <f>IF($H$15="Imperial",              (((AZ99*AZ101*AZ102)/1728)-AY103)*($H$33/100),              ((((AZ99*AZ101*AZ102)/1000000000)-AY103)*($H$33/100)))</f>
        <v>-31.04</v>
      </c>
      <c r="BA103" s="279">
        <f>IF($H$15="Imperial",                    ((((BA99*BA101*AY102)/1728)-AY103)*($H$33/100)),                     ((((BA99*BA101*AY102)/1000000000)-AY103)*($H$33/100))+0.18)</f>
        <v>-31.04</v>
      </c>
      <c r="BB103" s="279">
        <f>AY103+AZ103</f>
        <v>46.559999999999995</v>
      </c>
      <c r="BC103" s="279">
        <f>AY103+BA103</f>
        <v>46.559999999999995</v>
      </c>
      <c r="BD103" s="279">
        <f>IF($H$15="Imperial",        IF($H$19="SC-18",             21.36,            IF(H19="SC-44",         94.02,         IF(H19="SC-34E",         72.8,         69.83))),              IF($H$19="SC-18",             0.6,               IF(H19="SC-44",        2.66,        IF(H19="SC-34E",        2.06,         1.98))))</f>
        <v>72.8</v>
      </c>
      <c r="BE103" s="279">
        <f>IF($H$15="Imperial",                    ((((BE99*BE101*BE102)/1728)-BD103)*($H$33/100)),                          ((((BE99*BE101*BE102)/1000000000)-BD103)*($H$33/100)))</f>
        <v>-29.12</v>
      </c>
      <c r="BF103" s="279">
        <f>IF($H$15="Imperial",                    ((((BF99*BF101*BF102)/1728)-BD103)*($H$33/100)),                     ((((BF99*BF101*BF102)/1000000000)-BD103)*($H$33/100)))</f>
        <v>-29.12</v>
      </c>
      <c r="BG103" s="279">
        <f>BD103+BE103</f>
        <v>43.679999999999993</v>
      </c>
      <c r="BH103" s="279">
        <f>BD103+BF103</f>
        <v>43.679999999999993</v>
      </c>
      <c r="BI103" s="163"/>
      <c r="BJ103" s="163"/>
      <c r="BK103" s="364" t="s">
        <v>90</v>
      </c>
      <c r="BL103" s="364"/>
      <c r="BM103" s="364"/>
      <c r="BN103" s="269">
        <f>(BB81*1728)/AZ79</f>
        <v>738.12550458715589</v>
      </c>
      <c r="BO103" s="249"/>
      <c r="BP103" s="244"/>
      <c r="BQ103" s="343"/>
      <c r="BR103" s="343"/>
      <c r="BS103" s="344"/>
      <c r="BT103" s="344"/>
      <c r="BU103" s="344"/>
      <c r="BV103" s="344"/>
      <c r="BW103" s="344"/>
      <c r="BX103" s="305"/>
      <c r="BY103" s="343" t="s">
        <v>42</v>
      </c>
      <c r="BZ103" s="343"/>
      <c r="CA103" s="344" t="s">
        <v>150</v>
      </c>
      <c r="CB103" s="244"/>
      <c r="CC103" s="235"/>
      <c r="CD103" s="8"/>
      <c r="CE103" s="8"/>
      <c r="CF103" s="8"/>
      <c r="CG103" s="8"/>
      <c r="CH103" s="8"/>
      <c r="CI103" s="25"/>
      <c r="CJ103" s="8"/>
      <c r="CK103" s="7"/>
      <c r="CL103" s="7"/>
      <c r="CM103" s="3"/>
      <c r="CN103" s="21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</row>
    <row r="104" spans="2:103" ht="18" customHeight="1" x14ac:dyDescent="0.25">
      <c r="B104" s="18"/>
      <c r="C104" s="18"/>
      <c r="D104" s="18"/>
      <c r="E104" s="18"/>
      <c r="F104" s="18"/>
      <c r="G104" s="18"/>
      <c r="H104" s="18"/>
      <c r="I104" s="18"/>
      <c r="J104" s="11"/>
      <c r="K104" s="11"/>
      <c r="L104" s="15"/>
      <c r="M104" s="15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Z104" s="22"/>
      <c r="AA104" s="42"/>
      <c r="AB104" s="42"/>
      <c r="AC104" s="15"/>
      <c r="AD104" s="22"/>
      <c r="AU104" s="163"/>
      <c r="AV104" s="163"/>
      <c r="AW104" s="358" t="s">
        <v>66</v>
      </c>
      <c r="AX104" s="358"/>
      <c r="AY104" s="358"/>
      <c r="AZ104" s="206">
        <f>IF(H37&lt;3,       0,         AZ101*AZ99*AZ102)</f>
        <v>0</v>
      </c>
      <c r="BA104" s="206">
        <f>IF(H37&lt;3,      0,        BA101*BA99*BA102)</f>
        <v>0</v>
      </c>
      <c r="BB104" s="274">
        <f>IF(H15="Imperial",         IF(H37&lt;3,        0,           (BB103*1728)/AZ104),           IF(H37&lt;3,       0,            (BB103*1000000000)/AZ104))</f>
        <v>0</v>
      </c>
      <c r="BC104" s="274">
        <f>IF(H15="Imperial",         IF(H37&lt;3,       0,          (BC103*1728)/BA104),         IF(H37&lt;3,        0,         (BC103*1000000000)/BA104))</f>
        <v>0</v>
      </c>
      <c r="BD104" s="206"/>
      <c r="BE104" s="206">
        <f>IF(H37&lt;3,      0,         BE99*BE101*BE102)</f>
        <v>0</v>
      </c>
      <c r="BF104" s="206">
        <f>IF(H37&lt;3,          0,        BF99*BF101*BF102)</f>
        <v>0</v>
      </c>
      <c r="BG104" s="206">
        <f>IF(H15="Imperial",         IF(H37&lt;3,         0,           (BG103*1728)/BE104),          IF(H37&lt;3,         0,         (BG103*1000000000)/BE104))</f>
        <v>0</v>
      </c>
      <c r="BH104" s="206">
        <f>IF(H15="Imperial",        IF(H37&lt;3,      0,         (BH103*1728)/BF104),        IF(H37&lt;3,         0,          (BH103*1000000000)/BF104))</f>
        <v>0</v>
      </c>
      <c r="BI104" s="163"/>
      <c r="BJ104" s="163"/>
      <c r="BK104" s="363" t="s">
        <v>91</v>
      </c>
      <c r="BL104" s="363"/>
      <c r="BM104" s="363"/>
      <c r="BN104" s="265">
        <f>(BB81*1728)/AZ77</f>
        <v>1051.7082352941175</v>
      </c>
      <c r="BO104" s="249"/>
      <c r="BP104" s="244"/>
      <c r="BQ104" s="309">
        <f>IF(H15="Imperial",   IF(BR94=1,   IF(BV99=1,   AZ23,   IF(BV99=2,  BG23,  (2*(BB81+((((H55-(H45/2))*AZ75*AZ79)/1728)*(H33/100)))+(BT99*(BG81+((((H55-(H45/2))*BE75*BE79)/1728)*(H33/100))))))),                                                                                                              IF(BV99=1,          BD23+(BT99*BH27),             IF(BV99=2,              2*BB81,               (2*BB81)+(BT99*BG81)))),                                                                                                                                                                                              IF(BR94=1,       IF(BV99=1,   AZ23,   IF(BV99=2,    BG23,    (2*(BB81+((((H55-(H45/2))*AZ75*AZ79)/1000000000)*(H33/100)))+(BT99*(BG81+((((H55-(H45/2))*BE75*BE79)/1000000000)*(H33/100))))))),                                                                                                              IF(BV99=1,          BD23+(BT99*BH27),             IF(BV99=2,              2*BB81,               (2*BB81)+(BT99*BG81)))))</f>
        <v>98.88000000000001</v>
      </c>
      <c r="BR104" s="309">
        <f>IF(BT94=0,                       0,                          IF(BV99=1,                           BH27,               IF(BV99=2,                  2*BC81,                    (2*BC81)+(BT99*BH81))))</f>
        <v>0</v>
      </c>
      <c r="BS104" s="344">
        <f>IF(H37=1,          0,           IF(BR94=1,             1,         IF(BR94=2,                 ROUNDDOWN((BQ94/BQ104),0),                      ROUNDDOWN((BQ94-(2*BQ104))/BR104,0)+2)))</f>
        <v>0</v>
      </c>
      <c r="BT104" s="344">
        <f>IF(BR94&lt;3,                 0,                     ROUNDDOWN((BQ94-(2*BQ104))/BR104,0))</f>
        <v>0</v>
      </c>
      <c r="BU104" s="344"/>
      <c r="BV104" s="344"/>
      <c r="BW104" s="344"/>
      <c r="BX104" s="305"/>
      <c r="BY104" s="343"/>
      <c r="BZ104" s="343"/>
      <c r="CA104" s="344"/>
      <c r="CB104" s="244"/>
      <c r="CC104" s="206"/>
      <c r="CD104" s="9"/>
      <c r="CE104" s="9"/>
      <c r="CF104" s="9"/>
      <c r="CG104" s="9"/>
      <c r="CH104" s="9"/>
      <c r="CI104" s="11"/>
      <c r="CJ104" s="9"/>
      <c r="CK104" s="7"/>
      <c r="CL104" s="7"/>
      <c r="CM104" s="3"/>
      <c r="CN104" s="21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</row>
    <row r="105" spans="2:103" ht="15" customHeight="1" x14ac:dyDescent="0.25">
      <c r="B105" s="18"/>
      <c r="C105" s="18"/>
      <c r="D105" s="18"/>
      <c r="E105" s="18"/>
      <c r="F105" s="18"/>
      <c r="G105" s="18"/>
      <c r="H105" s="18"/>
      <c r="I105" s="18"/>
      <c r="J105" s="200"/>
      <c r="K105" s="200"/>
      <c r="L105" s="15"/>
      <c r="M105" s="15"/>
      <c r="N105" s="15"/>
      <c r="O105" s="15"/>
      <c r="P105" s="15"/>
      <c r="Q105" s="15"/>
      <c r="R105" s="15"/>
      <c r="S105" s="112"/>
      <c r="T105" s="112"/>
      <c r="U105" s="112"/>
      <c r="V105" s="112"/>
      <c r="W105" s="112"/>
      <c r="X105" s="112"/>
      <c r="Y105" s="108">
        <f>H29</f>
        <v>6</v>
      </c>
      <c r="Z105" s="11" t="str">
        <f>IF(H15="Imperial",    "Inches",  "mm")</f>
        <v>Inches</v>
      </c>
      <c r="AA105" s="11"/>
      <c r="AB105" s="11"/>
      <c r="AC105" s="15"/>
      <c r="AD105" s="22"/>
      <c r="AU105" s="163"/>
      <c r="AV105" s="163"/>
      <c r="AW105" s="341"/>
      <c r="AX105" s="341"/>
      <c r="AY105" s="341"/>
      <c r="AZ105" s="341"/>
      <c r="BA105" s="341"/>
      <c r="BB105" s="341"/>
      <c r="BC105" s="341"/>
      <c r="BD105" s="341"/>
      <c r="BE105" s="341"/>
      <c r="BF105" s="341"/>
      <c r="BG105" s="341"/>
      <c r="BH105" s="341"/>
      <c r="BI105" s="163"/>
      <c r="BJ105" s="163"/>
      <c r="BK105" s="364" t="s">
        <v>93</v>
      </c>
      <c r="BL105" s="364"/>
      <c r="BM105" s="364"/>
      <c r="BN105" s="248">
        <f>(BC81*1728)/BA79</f>
        <v>738.12550458715589</v>
      </c>
      <c r="BO105" s="249"/>
      <c r="BP105" s="244"/>
      <c r="BQ105" s="309"/>
      <c r="BR105" s="309"/>
      <c r="BS105" s="344"/>
      <c r="BT105" s="344"/>
      <c r="BU105" s="344"/>
      <c r="BV105" s="344"/>
      <c r="BW105" s="344"/>
      <c r="BX105" s="305"/>
      <c r="BY105" s="341">
        <f>BT115</f>
        <v>0</v>
      </c>
      <c r="BZ105" s="341"/>
      <c r="CA105" s="341">
        <f>BT117</f>
        <v>0</v>
      </c>
      <c r="CB105" s="244"/>
      <c r="CC105" s="206"/>
      <c r="CD105" s="9"/>
      <c r="CE105" s="9"/>
      <c r="CF105" s="9"/>
      <c r="CG105" s="9"/>
      <c r="CH105" s="9"/>
      <c r="CI105" s="11"/>
      <c r="CJ105" s="9"/>
      <c r="CK105" s="7"/>
      <c r="CL105" s="3"/>
      <c r="CM105" s="3"/>
      <c r="CN105" s="21"/>
      <c r="CO105" s="3"/>
      <c r="CP105" s="7"/>
      <c r="CQ105" s="7"/>
      <c r="CR105" s="7"/>
      <c r="CS105" s="7"/>
      <c r="CT105" s="7"/>
      <c r="CU105" s="7"/>
      <c r="CV105" s="7"/>
      <c r="CW105" s="7"/>
      <c r="CX105" s="7"/>
      <c r="CY105" s="7"/>
    </row>
    <row r="106" spans="2:103" ht="15" customHeight="1" x14ac:dyDescent="0.25">
      <c r="B106" s="18"/>
      <c r="C106" s="18"/>
      <c r="G106" s="18"/>
      <c r="H106" s="18"/>
      <c r="I106" s="18"/>
      <c r="J106" s="200"/>
      <c r="K106" s="200"/>
      <c r="L106" s="15"/>
      <c r="M106" s="15"/>
      <c r="N106" s="11"/>
      <c r="O106" s="11"/>
      <c r="P106" s="11"/>
      <c r="Q106" s="11"/>
      <c r="R106" s="11"/>
      <c r="S106" s="15"/>
      <c r="T106" s="15"/>
      <c r="U106" s="22"/>
      <c r="V106" s="22"/>
      <c r="W106" s="185"/>
      <c r="X106" s="15"/>
      <c r="Y106" s="15"/>
      <c r="Z106" s="15"/>
      <c r="AA106" s="15"/>
      <c r="AB106" s="15"/>
      <c r="AC106" s="15"/>
      <c r="AU106" s="163"/>
      <c r="AV106" s="163"/>
      <c r="AW106" s="359" t="s">
        <v>5</v>
      </c>
      <c r="AX106" s="359"/>
      <c r="AY106" s="344" t="str">
        <f>IF($H$15="Imperial","Installed Height (in)","Installed Height (mm)")</f>
        <v>Installed Height (in)</v>
      </c>
      <c r="AZ106" s="344" t="str">
        <f>IF($H$15="Imperial","Width (in)","Width (mm)")</f>
        <v>Width (in)</v>
      </c>
      <c r="BA106" s="344" t="str">
        <f>IF($H$15="Imperial","Storage Width (in)","Storage Width (mm)")</f>
        <v>Storage Width (in)</v>
      </c>
      <c r="BB106" s="344" t="str">
        <f>IF($H$15="Imperial","Length (in)","Length (mm)")</f>
        <v>Length (in)</v>
      </c>
      <c r="BC106" s="344" t="str">
        <f>IF($H$15="Imperial","Storage Volume (ft²)","Storage Volume (m²)")</f>
        <v>Storage Volume (ft²)</v>
      </c>
      <c r="BD106" s="243"/>
      <c r="BE106" s="243"/>
      <c r="BF106" s="360" t="s">
        <v>58</v>
      </c>
      <c r="BG106" s="360"/>
      <c r="BH106" s="360"/>
      <c r="BI106" s="163"/>
      <c r="BJ106" s="163"/>
      <c r="BK106" s="363" t="s">
        <v>94</v>
      </c>
      <c r="BL106" s="363"/>
      <c r="BM106" s="363"/>
      <c r="BN106" s="265">
        <f>(BC81*1728)/BA77</f>
        <v>1166.0243478260868</v>
      </c>
      <c r="BO106" s="249"/>
      <c r="BP106" s="244"/>
      <c r="BQ106" s="344" t="s">
        <v>151</v>
      </c>
      <c r="BR106" s="344" t="s">
        <v>127</v>
      </c>
      <c r="BS106" s="344" t="s">
        <v>152</v>
      </c>
      <c r="BT106" s="344" t="s">
        <v>153</v>
      </c>
      <c r="BU106" s="243"/>
      <c r="BV106" s="243"/>
      <c r="BW106" s="243"/>
      <c r="BX106" s="305"/>
      <c r="BY106" s="341"/>
      <c r="BZ106" s="341"/>
      <c r="CA106" s="341"/>
      <c r="CB106" s="244"/>
      <c r="CC106" s="20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22"/>
    </row>
    <row r="107" spans="2:103" ht="15" customHeight="1" x14ac:dyDescent="0.25">
      <c r="B107" s="18"/>
      <c r="C107" s="18"/>
      <c r="D107" s="18"/>
      <c r="E107" s="43">
        <f>H45</f>
        <v>9</v>
      </c>
      <c r="F107" s="18" t="str">
        <f>IF(H15="Imperial", " Inches",        "mm")</f>
        <v xml:space="preserve"> Inches</v>
      </c>
      <c r="G107" s="18"/>
      <c r="H107" s="18"/>
      <c r="I107" s="18"/>
      <c r="J107" s="15"/>
      <c r="K107" s="15"/>
      <c r="L107" s="15"/>
      <c r="M107" s="15"/>
      <c r="N107" s="11"/>
      <c r="O107" s="11"/>
      <c r="P107" s="11"/>
      <c r="Q107" s="11"/>
      <c r="R107" s="11"/>
      <c r="T107" s="9" t="str">
        <f>IF(H15="Imperial",    "20  Inches",       "510  mm")</f>
        <v>20  Inches</v>
      </c>
      <c r="V107" s="9"/>
      <c r="W107" s="9"/>
      <c r="X107" s="11"/>
      <c r="Y107" s="11"/>
      <c r="Z107" s="11"/>
      <c r="AA107" s="11"/>
      <c r="AB107" s="112"/>
      <c r="AC107" s="15"/>
      <c r="AU107" s="163"/>
      <c r="AV107" s="163"/>
      <c r="AW107" s="359"/>
      <c r="AX107" s="359"/>
      <c r="AY107" s="344"/>
      <c r="AZ107" s="344"/>
      <c r="BA107" s="344"/>
      <c r="BB107" s="344"/>
      <c r="BC107" s="344"/>
      <c r="BD107" s="243"/>
      <c r="BE107" s="243"/>
      <c r="BF107" s="360"/>
      <c r="BG107" s="360"/>
      <c r="BH107" s="360"/>
      <c r="BI107" s="163"/>
      <c r="BJ107" s="163"/>
      <c r="BK107" s="264"/>
      <c r="BL107" s="264"/>
      <c r="BM107" s="264"/>
      <c r="BN107" s="249"/>
      <c r="BO107" s="249"/>
      <c r="BP107" s="244"/>
      <c r="BQ107" s="344"/>
      <c r="BR107" s="344"/>
      <c r="BS107" s="344"/>
      <c r="BT107" s="344"/>
      <c r="BU107" s="243"/>
      <c r="BV107" s="243"/>
      <c r="BW107" s="243"/>
      <c r="BX107" s="305"/>
      <c r="BY107" s="309"/>
      <c r="BZ107" s="309"/>
      <c r="CA107" s="309"/>
      <c r="CB107" s="244"/>
      <c r="CC107" s="207"/>
      <c r="CD107" s="7"/>
      <c r="CE107" s="7"/>
      <c r="CF107" s="7"/>
      <c r="CG107" s="7"/>
      <c r="CH107" s="7"/>
      <c r="CI107" s="7"/>
      <c r="CJ107" s="7"/>
      <c r="CK107" s="7"/>
      <c r="CL107" s="7"/>
      <c r="CM107" s="7"/>
    </row>
    <row r="108" spans="2:103" ht="15" customHeight="1" x14ac:dyDescent="0.25">
      <c r="C108" s="39">
        <f>H55</f>
        <v>12</v>
      </c>
      <c r="D108" s="11" t="str">
        <f>IF(H15="Imperial",   "Inches",   "mm")</f>
        <v>Inches</v>
      </c>
      <c r="E108" s="18"/>
      <c r="I108" s="18"/>
      <c r="J108" s="11"/>
      <c r="K108" s="11"/>
      <c r="L108" s="15"/>
      <c r="M108" s="15"/>
      <c r="O108" s="22"/>
      <c r="P108" s="185"/>
      <c r="Q108" s="185"/>
      <c r="R108" s="18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U108" s="163"/>
      <c r="AV108" s="163"/>
      <c r="AW108" s="359"/>
      <c r="AX108" s="359"/>
      <c r="AY108" s="344"/>
      <c r="AZ108" s="344"/>
      <c r="BA108" s="344"/>
      <c r="BB108" s="344"/>
      <c r="BC108" s="344"/>
      <c r="BD108" s="243"/>
      <c r="BE108" s="243"/>
      <c r="BF108" s="360"/>
      <c r="BG108" s="360"/>
      <c r="BH108" s="360"/>
      <c r="BI108" s="163"/>
      <c r="BJ108" s="163"/>
      <c r="BK108" s="363" t="s">
        <v>92</v>
      </c>
      <c r="BL108" s="363"/>
      <c r="BM108" s="363"/>
      <c r="BN108" s="265">
        <f>(BG81*1728)/BE79</f>
        <v>829.43999999999994</v>
      </c>
      <c r="BO108" s="163"/>
      <c r="BP108" s="244"/>
      <c r="BQ108" s="344"/>
      <c r="BR108" s="344"/>
      <c r="BS108" s="344"/>
      <c r="BT108" s="344"/>
      <c r="BU108" s="243"/>
      <c r="BV108" s="243"/>
      <c r="BW108" s="243"/>
      <c r="BX108" s="305"/>
      <c r="BY108" s="309"/>
      <c r="BZ108" s="309"/>
      <c r="CA108" s="309"/>
      <c r="CB108" s="244"/>
      <c r="CC108" s="207"/>
      <c r="CD108" s="7"/>
      <c r="CE108" s="7"/>
      <c r="CF108" s="7"/>
      <c r="CG108" s="7"/>
      <c r="CH108" s="7"/>
      <c r="CI108" s="7"/>
      <c r="CJ108" s="7"/>
      <c r="CK108" s="7"/>
      <c r="CL108" s="7"/>
      <c r="CM108" s="7"/>
    </row>
    <row r="109" spans="2:103" ht="15.75" customHeight="1" x14ac:dyDescent="0.25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08" t="str">
        <f>IF(H15="Imperial",      "24    Inches",              "610     mm")</f>
        <v>24    Inches</v>
      </c>
      <c r="P109" s="15"/>
      <c r="Q109" s="15"/>
      <c r="R109" s="15"/>
      <c r="S109" s="11"/>
      <c r="T109" s="11"/>
      <c r="U109" s="11"/>
      <c r="V109" s="11"/>
      <c r="W109" s="11"/>
      <c r="X109" s="11"/>
      <c r="Y109" s="11"/>
      <c r="Z109" s="11"/>
      <c r="AA109" s="11"/>
      <c r="AB109" s="15"/>
      <c r="AC109" s="15"/>
      <c r="AU109" s="163"/>
      <c r="AV109" s="163"/>
      <c r="AW109" s="359"/>
      <c r="AX109" s="359"/>
      <c r="AY109" s="341">
        <f>IF($H$15="Imperial",44,1117)</f>
        <v>44</v>
      </c>
      <c r="AZ109" s="341">
        <f>IF($H$15="Imperial",47,1194)</f>
        <v>47</v>
      </c>
      <c r="BA109" s="341">
        <f>IF($H$15="Imperial",36,914)</f>
        <v>36</v>
      </c>
      <c r="BB109" s="341">
        <f>IF($H$15="Imperial",36,914)</f>
        <v>36</v>
      </c>
      <c r="BC109" s="341">
        <f>IF($H$15="Imperial",16.92,0.48)</f>
        <v>16.920000000000002</v>
      </c>
      <c r="BD109" s="243"/>
      <c r="BE109" s="243"/>
      <c r="BF109" s="362" t="s">
        <v>60</v>
      </c>
      <c r="BG109" s="362" t="s">
        <v>59</v>
      </c>
      <c r="BH109" s="362" t="s">
        <v>61</v>
      </c>
      <c r="BI109" s="163"/>
      <c r="BJ109" s="163"/>
      <c r="BK109" s="363" t="s">
        <v>95</v>
      </c>
      <c r="BL109" s="363"/>
      <c r="BM109" s="363"/>
      <c r="BN109" s="248">
        <f>(BG81*1728)/BE77</f>
        <v>986.65411764705868</v>
      </c>
      <c r="BO109" s="163"/>
      <c r="BP109" s="282"/>
      <c r="BQ109" s="341">
        <f>H47</f>
        <v>3</v>
      </c>
      <c r="BR109" s="341">
        <f>IF(BQ109=0,              BO92,             BO92-BQ109)</f>
        <v>-3</v>
      </c>
      <c r="BS109" s="341">
        <f>BV99-1</f>
        <v>0</v>
      </c>
      <c r="BT109" s="341">
        <f>IF(BS109&lt;=2,        0,         BS109-2)</f>
        <v>0</v>
      </c>
      <c r="BU109" s="243"/>
      <c r="BV109" s="243"/>
      <c r="BW109" s="243"/>
      <c r="BX109" s="305"/>
      <c r="BY109" s="309"/>
      <c r="BZ109" s="309"/>
      <c r="CA109" s="309"/>
      <c r="CB109" s="244"/>
      <c r="CC109" s="207"/>
      <c r="CD109" s="3"/>
      <c r="CE109" s="3"/>
      <c r="CF109" s="7"/>
      <c r="CG109" s="7"/>
      <c r="CH109" s="7"/>
      <c r="CI109" s="7"/>
      <c r="CJ109" s="7"/>
      <c r="CK109" s="7"/>
      <c r="CL109" s="7"/>
      <c r="CM109" s="7"/>
    </row>
    <row r="110" spans="2:103" ht="15" customHeight="1" x14ac:dyDescent="0.25">
      <c r="B110" s="18"/>
      <c r="C110" s="18"/>
      <c r="D110" s="18"/>
      <c r="E110" s="18"/>
      <c r="F110" s="18"/>
      <c r="G110" s="18"/>
      <c r="H110" s="18"/>
      <c r="I110" s="18"/>
      <c r="J110" s="11"/>
      <c r="K110" s="11"/>
      <c r="L110" s="15"/>
      <c r="M110" s="15"/>
      <c r="N110" s="11"/>
      <c r="O110" s="11"/>
      <c r="P110" s="11"/>
      <c r="Q110" s="11"/>
      <c r="R110" s="11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U110" s="163"/>
      <c r="AV110" s="163"/>
      <c r="AW110" s="359"/>
      <c r="AX110" s="359"/>
      <c r="AY110" s="341"/>
      <c r="AZ110" s="341"/>
      <c r="BA110" s="341"/>
      <c r="BB110" s="341"/>
      <c r="BC110" s="341"/>
      <c r="BD110" s="240"/>
      <c r="BE110" s="240"/>
      <c r="BF110" s="362"/>
      <c r="BG110" s="362"/>
      <c r="BH110" s="362"/>
      <c r="BI110" s="163"/>
      <c r="BJ110" s="163"/>
      <c r="BK110" s="363" t="s">
        <v>96</v>
      </c>
      <c r="BL110" s="363"/>
      <c r="BM110" s="363"/>
      <c r="BN110" s="265">
        <f>(BH81*1728)/BF79</f>
        <v>829.43999999999994</v>
      </c>
      <c r="BO110" s="163"/>
      <c r="BP110" s="244"/>
      <c r="BQ110" s="341"/>
      <c r="BR110" s="341"/>
      <c r="BS110" s="341"/>
      <c r="BT110" s="341"/>
      <c r="BU110" s="243"/>
      <c r="BV110" s="243"/>
      <c r="BW110" s="243"/>
      <c r="BX110" s="305"/>
      <c r="BY110" s="309"/>
      <c r="BZ110" s="309"/>
      <c r="CA110" s="309"/>
      <c r="CB110" s="244"/>
      <c r="CC110" s="207"/>
      <c r="CD110" s="3"/>
      <c r="CE110" s="3"/>
      <c r="CF110" s="7"/>
      <c r="CG110" s="7"/>
      <c r="CH110" s="7"/>
      <c r="CI110" s="7"/>
      <c r="CJ110" s="7"/>
      <c r="CK110" s="7"/>
      <c r="CL110" s="7"/>
      <c r="CM110" s="7"/>
    </row>
    <row r="111" spans="2:103" ht="15" customHeight="1" x14ac:dyDescent="0.25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22"/>
      <c r="Q111" s="22"/>
      <c r="R111" s="22"/>
      <c r="S111" s="22"/>
      <c r="T111" s="15"/>
      <c r="U111" s="15"/>
      <c r="V111" s="15"/>
      <c r="W111" s="15"/>
      <c r="X111" s="15"/>
      <c r="Y111" s="15"/>
      <c r="Z111" s="15"/>
      <c r="AA111" s="15"/>
      <c r="AB111" s="15"/>
      <c r="AU111" s="163"/>
      <c r="AV111" s="163"/>
      <c r="AW111" s="283"/>
      <c r="AX111" s="284">
        <f>V77*V79*V81</f>
        <v>15808.506944444443</v>
      </c>
      <c r="AY111" s="240"/>
      <c r="AZ111" s="240"/>
      <c r="BA111" s="240"/>
      <c r="BB111" s="240"/>
      <c r="BC111" s="240"/>
      <c r="BD111" s="240"/>
      <c r="BE111" s="240"/>
      <c r="BF111" s="309">
        <f>V77</f>
        <v>222.91666666666666</v>
      </c>
      <c r="BG111" s="309">
        <f>V79</f>
        <v>18.5</v>
      </c>
      <c r="BH111" s="309">
        <f>IF(H15=1,                IF(H37=1,         (AY61+H29+H27)/12,            IF(H37=2,         (H29+AY75+H39+AY61+H27)/12,              (H29+AY89+H39+AY75+H39+AY61+H27)/12)),                                                                                       IF(H37=1,                                         (AY61+H29+H27)/1000,          IF(H37=2,         (H29+AY75+H39+AY61+H27)/1000,              (H29+AY89+H39+AY75+H39+AY61+H27)/1000)))</f>
        <v>4.5999999999999999E-2</v>
      </c>
      <c r="BI111" s="215"/>
      <c r="BJ111" s="215"/>
      <c r="BK111" s="363" t="s">
        <v>97</v>
      </c>
      <c r="BL111" s="363"/>
      <c r="BM111" s="363"/>
      <c r="BN111" s="248">
        <f>(BH81*1728)/BF77</f>
        <v>1093.8991304347826</v>
      </c>
      <c r="BO111" s="163"/>
      <c r="BP111" s="251"/>
      <c r="BQ111" s="309"/>
      <c r="BR111" s="309"/>
      <c r="BS111" s="309"/>
      <c r="BT111" s="309"/>
      <c r="BU111" s="309"/>
      <c r="BV111" s="309"/>
      <c r="BW111" s="309"/>
      <c r="BX111" s="309"/>
      <c r="BY111" s="163"/>
      <c r="BZ111" s="163"/>
      <c r="CA111" s="163"/>
      <c r="CB111" s="244"/>
      <c r="CC111" s="207"/>
      <c r="CD111" s="3"/>
      <c r="CE111" s="3"/>
      <c r="CF111" s="7"/>
      <c r="CG111" s="7"/>
      <c r="CH111" s="7"/>
      <c r="CI111" s="7"/>
      <c r="CJ111" s="7"/>
      <c r="CK111" s="7"/>
      <c r="CL111" s="7"/>
      <c r="CM111" s="7"/>
    </row>
    <row r="112" spans="2:103" ht="15" customHeight="1" x14ac:dyDescent="0.25">
      <c r="B112" s="11"/>
      <c r="C112" s="11"/>
      <c r="D112" s="11"/>
      <c r="E112" s="11"/>
      <c r="F112" s="11"/>
      <c r="G112" s="11"/>
      <c r="H112" s="11"/>
      <c r="I112" s="11"/>
      <c r="J112" s="11"/>
      <c r="K112" s="15"/>
      <c r="L112" s="15"/>
      <c r="M112" s="15"/>
      <c r="N112" s="11"/>
      <c r="O112" s="11"/>
      <c r="P112" s="11"/>
      <c r="Q112" s="331" t="str">
        <f>IF(H15="Imperial", "47   Inches",           "1200  mm")</f>
        <v>47   Inches</v>
      </c>
      <c r="R112" s="331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U112" s="163"/>
      <c r="AV112" s="163"/>
      <c r="AW112" s="283"/>
      <c r="AX112" s="163"/>
      <c r="AY112" s="163"/>
      <c r="AZ112" s="163"/>
      <c r="BA112" s="163"/>
      <c r="BB112" s="163"/>
      <c r="BC112" s="163"/>
      <c r="BD112" s="240"/>
      <c r="BE112" s="240"/>
      <c r="BF112" s="309"/>
      <c r="BG112" s="309"/>
      <c r="BH112" s="309"/>
      <c r="BI112" s="215"/>
      <c r="BJ112" s="215"/>
      <c r="BK112" s="264"/>
      <c r="BL112" s="264"/>
      <c r="BM112" s="264"/>
      <c r="BN112" s="248"/>
      <c r="BO112" s="163"/>
      <c r="BP112" s="251"/>
      <c r="BQ112" s="243"/>
      <c r="BR112" s="243"/>
      <c r="BS112" s="163"/>
      <c r="BT112" s="163"/>
      <c r="BU112" s="240"/>
      <c r="BV112" s="206"/>
      <c r="BW112" s="206"/>
      <c r="BX112" s="206"/>
      <c r="BY112" s="163"/>
      <c r="BZ112" s="163"/>
      <c r="CA112" s="163"/>
      <c r="CB112" s="244"/>
      <c r="CC112" s="207"/>
      <c r="CD112" s="3"/>
      <c r="CE112" s="3"/>
      <c r="CF112" s="7"/>
      <c r="CG112" s="7"/>
      <c r="CH112" s="7"/>
      <c r="CI112" s="7"/>
      <c r="CJ112" s="7"/>
      <c r="CK112" s="7"/>
      <c r="CL112" s="7"/>
      <c r="CM112" s="7"/>
    </row>
    <row r="113" spans="2:98" ht="15" customHeight="1" x14ac:dyDescent="0.25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20"/>
      <c r="N113" s="15"/>
      <c r="O113" s="15"/>
      <c r="P113" s="22"/>
      <c r="S113" s="9"/>
      <c r="T113" s="15"/>
      <c r="U113" s="15"/>
      <c r="V113" s="15"/>
      <c r="W113" s="15"/>
      <c r="X113" s="15"/>
      <c r="Y113" s="15"/>
      <c r="Z113" s="15"/>
      <c r="AA113" s="15"/>
      <c r="AB113" s="15"/>
      <c r="AU113" s="163"/>
      <c r="AV113" s="163"/>
      <c r="AW113" s="285"/>
      <c r="AX113" s="205"/>
      <c r="AY113" s="205"/>
      <c r="AZ113" s="205"/>
      <c r="BA113" s="205"/>
      <c r="BB113" s="205"/>
      <c r="BC113" s="205">
        <f>BE121-BE119</f>
        <v>3.5061111111111245</v>
      </c>
      <c r="BD113" s="205"/>
      <c r="BE113" s="205"/>
      <c r="BF113" s="205"/>
      <c r="BG113" s="205"/>
      <c r="BH113" s="205"/>
      <c r="BI113" s="220"/>
      <c r="BJ113" s="220"/>
      <c r="BK113" s="264"/>
      <c r="BL113" s="264"/>
      <c r="BM113" s="264"/>
      <c r="BN113" s="248"/>
      <c r="BO113" s="163"/>
      <c r="BP113" s="251"/>
      <c r="BQ113" s="243"/>
      <c r="BR113" s="243"/>
      <c r="BS113" s="240" t="s">
        <v>182</v>
      </c>
      <c r="BT113" s="265">
        <f>H47</f>
        <v>3</v>
      </c>
      <c r="BU113" s="240"/>
      <c r="BV113" s="206"/>
      <c r="BW113" s="206"/>
      <c r="BX113" s="343"/>
      <c r="BY113" s="343"/>
      <c r="BZ113" s="163"/>
      <c r="CA113" s="163"/>
      <c r="CB113" s="244"/>
      <c r="CC113" s="207"/>
      <c r="CD113" s="3"/>
      <c r="CE113" s="3"/>
      <c r="CF113" s="7"/>
      <c r="CG113" s="7"/>
      <c r="CH113" s="7"/>
      <c r="CI113" s="7"/>
      <c r="CJ113" s="7"/>
      <c r="CK113" s="7"/>
      <c r="CL113" s="7"/>
      <c r="CM113" s="7"/>
    </row>
    <row r="114" spans="2:98" ht="14.25" customHeight="1" x14ac:dyDescent="0.25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20"/>
      <c r="N114" s="11"/>
      <c r="O114" s="11"/>
      <c r="P114" s="11"/>
      <c r="Q114" s="11"/>
      <c r="R114" s="11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U114" s="163"/>
      <c r="AV114" s="163"/>
      <c r="AW114" s="205"/>
      <c r="AX114" s="163"/>
      <c r="AY114" s="163"/>
      <c r="AZ114" s="163"/>
      <c r="BA114" s="163"/>
      <c r="BB114" s="163"/>
      <c r="BC114" s="163"/>
      <c r="BD114" s="163"/>
      <c r="BE114" s="163"/>
      <c r="BF114" s="360" t="s">
        <v>62</v>
      </c>
      <c r="BG114" s="360"/>
      <c r="BH114" s="360"/>
      <c r="BI114" s="214"/>
      <c r="BJ114" s="214"/>
      <c r="BK114" s="264"/>
      <c r="BL114" s="264"/>
      <c r="BM114" s="264"/>
      <c r="BN114" s="248"/>
      <c r="BO114" s="163"/>
      <c r="BP114" s="206"/>
      <c r="BQ114" s="243"/>
      <c r="BR114" s="243"/>
      <c r="BS114" s="271" t="s">
        <v>133</v>
      </c>
      <c r="BT114" s="212">
        <f>IF((BR94*BV99)&lt;=BT113,           0,                BR94)</f>
        <v>0</v>
      </c>
      <c r="BU114" s="241" t="s">
        <v>137</v>
      </c>
      <c r="BV114" s="169"/>
      <c r="BW114" s="169"/>
      <c r="BX114" s="309"/>
      <c r="BY114" s="309"/>
      <c r="BZ114" s="215"/>
      <c r="CA114" s="215"/>
      <c r="CB114" s="244"/>
      <c r="CC114" s="207"/>
      <c r="CD114" s="3"/>
      <c r="CE114" s="3"/>
      <c r="CF114" s="7"/>
      <c r="CG114" s="3"/>
      <c r="CH114" s="3"/>
      <c r="CI114" s="3"/>
      <c r="CJ114" s="3"/>
      <c r="CK114" s="3"/>
      <c r="CL114" s="3"/>
      <c r="CM114" s="7"/>
      <c r="CN114" s="7"/>
      <c r="CO114" s="7"/>
      <c r="CP114" s="7"/>
      <c r="CQ114" s="7"/>
      <c r="CR114" s="7"/>
      <c r="CS114" s="7"/>
      <c r="CT114" s="7"/>
    </row>
    <row r="115" spans="2:98" ht="15" customHeight="1" x14ac:dyDescent="0.25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20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5"/>
      <c r="AU115" s="163"/>
      <c r="AV115" s="163"/>
      <c r="AW115" s="163"/>
      <c r="AX115" s="163"/>
      <c r="AY115" s="163">
        <f>BF111*BG111*BH111</f>
        <v>189.70208333333332</v>
      </c>
      <c r="AZ115" s="163">
        <f>AY115-BF119-BG119</f>
        <v>-6099.8979166666668</v>
      </c>
      <c r="BA115" s="163"/>
      <c r="BB115" s="163"/>
      <c r="BC115" s="163"/>
      <c r="BD115" s="163"/>
      <c r="BE115" s="163"/>
      <c r="BF115" s="360"/>
      <c r="BG115" s="360"/>
      <c r="BH115" s="360"/>
      <c r="BI115" s="214"/>
      <c r="BJ115" s="214"/>
      <c r="BK115" s="264"/>
      <c r="BL115" s="264"/>
      <c r="BM115" s="264"/>
      <c r="BN115" s="248"/>
      <c r="BO115" s="163"/>
      <c r="BP115" s="249"/>
      <c r="BQ115" s="169"/>
      <c r="BR115" s="169"/>
      <c r="BS115" s="271" t="s">
        <v>149</v>
      </c>
      <c r="BT115" s="212">
        <f>IF(H37=1,          0,        IF((BR94*BV99)&lt;=BT113,           0,              IF(BT114&lt;=BT113,              BR94,         BT114-BT113)))</f>
        <v>0</v>
      </c>
      <c r="BU115" s="241" t="s">
        <v>136</v>
      </c>
      <c r="BV115" s="169"/>
      <c r="BW115" s="169"/>
      <c r="BX115" s="362"/>
      <c r="BY115" s="362"/>
      <c r="BZ115" s="215"/>
      <c r="CA115" s="215"/>
      <c r="CB115" s="244"/>
      <c r="CC115" s="207"/>
      <c r="CD115" s="3"/>
      <c r="CE115" s="3"/>
      <c r="CF115" s="7"/>
      <c r="CG115" s="27"/>
      <c r="CH115" s="27"/>
      <c r="CI115" s="28"/>
      <c r="CJ115" s="28"/>
      <c r="CK115" s="28"/>
      <c r="CL115" s="28"/>
    </row>
    <row r="116" spans="2:98" ht="15" customHeight="1" x14ac:dyDescent="0.25">
      <c r="B116" s="15"/>
      <c r="C116" s="15"/>
      <c r="D116" s="15"/>
      <c r="E116" s="15"/>
      <c r="F116" s="15"/>
      <c r="G116" s="15"/>
      <c r="H116" s="15"/>
      <c r="I116" s="15"/>
      <c r="J116" s="16"/>
      <c r="K116" s="15"/>
      <c r="L116" s="15"/>
      <c r="M116" s="20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U116" s="163"/>
      <c r="AV116" s="163"/>
      <c r="AW116" s="163"/>
      <c r="AX116" s="163"/>
      <c r="AY116" s="163"/>
      <c r="AZ116" s="163"/>
      <c r="BA116" s="163"/>
      <c r="BB116" s="163"/>
      <c r="BC116" s="163"/>
      <c r="BD116" s="163"/>
      <c r="BE116" s="163"/>
      <c r="BF116" s="209" t="s">
        <v>63</v>
      </c>
      <c r="BG116" s="209" t="s">
        <v>64</v>
      </c>
      <c r="BH116" s="163"/>
      <c r="BI116" s="249"/>
      <c r="BJ116" s="240"/>
      <c r="BK116" s="264"/>
      <c r="BL116" s="264"/>
      <c r="BM116" s="264"/>
      <c r="BN116" s="248"/>
      <c r="BO116" s="163"/>
      <c r="BP116" s="249"/>
      <c r="BQ116" s="169"/>
      <c r="BR116" s="169"/>
      <c r="BS116" s="271" t="s">
        <v>140</v>
      </c>
      <c r="BT116" s="212">
        <f>BT114-BT115</f>
        <v>0</v>
      </c>
      <c r="BU116" s="163"/>
      <c r="BV116" s="163"/>
      <c r="BW116" s="163"/>
      <c r="BX116" s="372"/>
      <c r="BY116" s="372"/>
      <c r="BZ116" s="215"/>
      <c r="CA116" s="215"/>
      <c r="CB116" s="244"/>
      <c r="CC116" s="214"/>
      <c r="CD116" s="3"/>
      <c r="CE116" s="3"/>
      <c r="CF116" s="7"/>
      <c r="CG116" s="193"/>
      <c r="CH116" s="193"/>
      <c r="CI116" s="193"/>
      <c r="CJ116" s="28"/>
      <c r="CK116" s="28"/>
      <c r="CL116" s="28"/>
    </row>
    <row r="117" spans="2:98" ht="15" customHeight="1" x14ac:dyDescent="0.25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20"/>
      <c r="N117" s="15"/>
      <c r="O117" s="15"/>
      <c r="P117" s="15"/>
      <c r="Q117" s="15"/>
      <c r="R117" s="15"/>
      <c r="S117" s="18"/>
      <c r="T117" s="18"/>
      <c r="U117" s="18"/>
      <c r="V117" s="18"/>
      <c r="W117" s="18"/>
      <c r="X117" s="18"/>
      <c r="Y117" s="18"/>
      <c r="Z117" s="18"/>
      <c r="AA117" s="18"/>
      <c r="AB117" s="11"/>
      <c r="AU117" s="163"/>
      <c r="AV117" s="163"/>
      <c r="AW117" s="163"/>
      <c r="AX117" s="163"/>
      <c r="AY117" s="163"/>
      <c r="AZ117" s="163"/>
      <c r="BA117" s="163"/>
      <c r="BB117" s="163"/>
      <c r="BC117" s="163"/>
      <c r="BD117" s="163"/>
      <c r="BE117" s="163"/>
      <c r="BF117" s="212"/>
      <c r="BG117" s="212"/>
      <c r="BH117" s="163"/>
      <c r="BI117" s="249"/>
      <c r="BJ117" s="240"/>
      <c r="BK117" s="264"/>
      <c r="BL117" s="264"/>
      <c r="BM117" s="264"/>
      <c r="BN117" s="248"/>
      <c r="BO117" s="163"/>
      <c r="BP117" s="251"/>
      <c r="BQ117" s="205"/>
      <c r="BR117" s="205"/>
      <c r="BS117" s="271" t="s">
        <v>134</v>
      </c>
      <c r="BT117" s="212">
        <f>IF(BT114=0,          0,         BT118-1)</f>
        <v>0</v>
      </c>
      <c r="BU117" s="241"/>
      <c r="BV117" s="241"/>
      <c r="BW117" s="260"/>
      <c r="BX117" s="308"/>
      <c r="BY117" s="308"/>
      <c r="BZ117" s="215"/>
      <c r="CA117" s="215"/>
      <c r="CB117" s="244"/>
      <c r="CC117" s="214"/>
      <c r="CD117" s="3"/>
      <c r="CE117" s="3"/>
      <c r="CF117" s="7"/>
      <c r="CG117" s="193"/>
      <c r="CH117" s="193"/>
      <c r="CI117" s="193"/>
      <c r="CJ117" s="28"/>
      <c r="CK117" s="28"/>
      <c r="CL117" s="28"/>
    </row>
    <row r="118" spans="2:98" ht="15" customHeight="1" x14ac:dyDescent="0.25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20"/>
      <c r="N118" s="15"/>
      <c r="O118" s="15"/>
      <c r="P118" s="15"/>
      <c r="Q118" s="15"/>
      <c r="R118" s="15"/>
      <c r="S118" s="18"/>
      <c r="T118" s="18"/>
      <c r="U118" s="18"/>
      <c r="V118" s="18"/>
      <c r="W118" s="18"/>
      <c r="X118" s="18"/>
      <c r="Y118" s="18"/>
      <c r="Z118" s="18"/>
      <c r="AA118" s="18"/>
      <c r="AB118" s="15"/>
      <c r="AU118" s="163"/>
      <c r="AV118" s="163"/>
      <c r="AW118" s="163"/>
      <c r="AX118" s="163"/>
      <c r="AY118" s="163">
        <f>7713/9</f>
        <v>857</v>
      </c>
      <c r="AZ118" s="163"/>
      <c r="BA118" s="163"/>
      <c r="BB118" s="163"/>
      <c r="BC118" s="163"/>
      <c r="BD118" s="163"/>
      <c r="BE118" s="286" t="s">
        <v>65</v>
      </c>
      <c r="BF118" s="212">
        <f>BL13+BL21+BL79+BL85+BL133+BL141</f>
        <v>6</v>
      </c>
      <c r="BG118" s="212">
        <f>BL17+BL25+BL29+BL82+BL88+BL137+BL145</f>
        <v>80</v>
      </c>
      <c r="BH118" s="163"/>
      <c r="BI118" s="249"/>
      <c r="BJ118" s="240"/>
      <c r="BK118" s="264"/>
      <c r="BL118" s="264"/>
      <c r="BM118" s="264"/>
      <c r="BN118" s="248"/>
      <c r="BO118" s="163"/>
      <c r="BP118" s="206"/>
      <c r="BQ118" s="205"/>
      <c r="BR118" s="205"/>
      <c r="BS118" s="271" t="s">
        <v>135</v>
      </c>
      <c r="BT118" s="212">
        <f>IF(BT114=0,       0,      IF(BT114=BT113,           BV99-1,          BV99))</f>
        <v>0</v>
      </c>
      <c r="BU118" s="241"/>
      <c r="BV118" s="241"/>
      <c r="BW118" s="260"/>
      <c r="BX118" s="372"/>
      <c r="BY118" s="372"/>
      <c r="BZ118" s="215"/>
      <c r="CA118" s="215"/>
      <c r="CB118" s="244"/>
      <c r="CC118" s="207"/>
      <c r="CD118" s="3"/>
      <c r="CE118" s="3"/>
      <c r="CF118" s="7"/>
      <c r="CG118" s="22"/>
      <c r="CH118" s="22"/>
      <c r="CI118" s="22"/>
    </row>
    <row r="119" spans="2:98" ht="15.75" customHeight="1" x14ac:dyDescent="0.25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20"/>
      <c r="N119" s="15"/>
      <c r="O119" s="15"/>
      <c r="P119" s="15"/>
      <c r="Q119" s="15"/>
      <c r="R119" s="15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U119" s="163"/>
      <c r="AV119" s="163"/>
      <c r="AW119" s="163"/>
      <c r="AX119" s="163" t="s">
        <v>70</v>
      </c>
      <c r="AY119" s="163">
        <f>IF(H15="Imperial", IF(H19="SC-44",        9,       6),          IF(H19="SC-44",         225,      150))</f>
        <v>6</v>
      </c>
      <c r="AZ119" s="163"/>
      <c r="BA119" s="169">
        <f>((AZ61*AZ63*(18+6))/1728)*0.4</f>
        <v>19.55</v>
      </c>
      <c r="BB119" s="169">
        <f>((AZ61*(6+18-4.5)*(AY65+6))/1728)*0.4</f>
        <v>21.386805555555554</v>
      </c>
      <c r="BC119" s="163">
        <f>((AZ61*18*(18-4.5))/1728)*0.4</f>
        <v>2.5875000000000004</v>
      </c>
      <c r="BD119" s="169">
        <f>BA119+BB119+(2*BC119)</f>
        <v>46.111805555555549</v>
      </c>
      <c r="BE119" s="163">
        <f>BB67+BD119</f>
        <v>181.46138888888888</v>
      </c>
      <c r="BF119" s="212">
        <f>BF118*AY67</f>
        <v>465.59999999999997</v>
      </c>
      <c r="BG119" s="212">
        <f>BG118*BD67</f>
        <v>5824</v>
      </c>
      <c r="BH119" s="163"/>
      <c r="BI119" s="249"/>
      <c r="BJ119" s="240"/>
      <c r="BK119" s="264"/>
      <c r="BL119" s="264"/>
      <c r="BM119" s="264"/>
      <c r="BN119" s="248"/>
      <c r="BO119" s="163"/>
      <c r="BP119" s="163"/>
      <c r="BQ119" s="205"/>
      <c r="BR119" s="205"/>
      <c r="BS119" s="243"/>
      <c r="BT119" s="243"/>
      <c r="BU119" s="243"/>
      <c r="BV119" s="243"/>
      <c r="BW119" s="260"/>
      <c r="BX119" s="205"/>
      <c r="BY119" s="215"/>
      <c r="BZ119" s="215"/>
      <c r="CA119" s="215"/>
      <c r="CB119" s="244"/>
      <c r="CC119" s="207"/>
      <c r="CD119" s="3"/>
      <c r="CE119" s="3"/>
      <c r="CF119" s="22"/>
      <c r="CG119" s="22"/>
      <c r="CH119" s="22"/>
      <c r="CI119" s="22"/>
    </row>
    <row r="120" spans="2:98" ht="15" customHeight="1" x14ac:dyDescent="0.25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20"/>
      <c r="N120" s="15"/>
      <c r="O120" s="15"/>
      <c r="P120" s="11"/>
      <c r="Q120" s="11"/>
      <c r="R120" s="11"/>
      <c r="S120" s="15"/>
      <c r="T120" s="15"/>
      <c r="U120" s="15"/>
      <c r="V120" s="15"/>
      <c r="W120" s="15"/>
      <c r="X120" s="15"/>
      <c r="Y120" s="15"/>
      <c r="Z120" s="15"/>
      <c r="AA120" s="15"/>
      <c r="AB120" s="18"/>
      <c r="AU120" s="163"/>
      <c r="AV120" s="163"/>
      <c r="AW120" s="163"/>
      <c r="AX120" s="163"/>
      <c r="AY120" s="163"/>
      <c r="AZ120" s="163"/>
      <c r="BA120" s="163"/>
      <c r="BB120" s="163"/>
      <c r="BC120" s="163"/>
      <c r="BD120" s="163"/>
      <c r="BE120" s="163"/>
      <c r="BF120" s="163"/>
      <c r="BG120" s="163"/>
      <c r="BH120" s="163"/>
      <c r="BI120" s="249"/>
      <c r="BJ120" s="240"/>
      <c r="BK120" s="264"/>
      <c r="BL120" s="264"/>
      <c r="BM120" s="264"/>
      <c r="BN120" s="248"/>
      <c r="BO120" s="163"/>
      <c r="BP120" s="163"/>
      <c r="BQ120" s="169"/>
      <c r="BR120" s="169"/>
      <c r="BS120" s="365" t="s">
        <v>144</v>
      </c>
      <c r="BT120" s="309" t="str">
        <f>IF(BT114&gt;15, "yes",  "no")</f>
        <v>no</v>
      </c>
      <c r="BU120" s="371" t="s">
        <v>145</v>
      </c>
      <c r="BV120" s="371"/>
      <c r="BW120" s="163" t="s">
        <v>148</v>
      </c>
      <c r="BX120" s="205"/>
      <c r="BY120" s="215"/>
      <c r="BZ120" s="215"/>
      <c r="CA120" s="215"/>
      <c r="CB120" s="244"/>
      <c r="CC120" s="247"/>
      <c r="CD120" s="7"/>
      <c r="CE120" s="7"/>
      <c r="CF120" s="30"/>
      <c r="CG120" s="22"/>
      <c r="CH120" s="22"/>
      <c r="CI120" s="22"/>
    </row>
    <row r="121" spans="2:98" ht="15.75" customHeight="1" x14ac:dyDescent="0.25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20"/>
      <c r="N121" s="15"/>
      <c r="O121" s="15"/>
      <c r="P121" s="11"/>
      <c r="Q121" s="11"/>
      <c r="R121" s="11"/>
      <c r="S121" s="15"/>
      <c r="T121" s="15"/>
      <c r="U121" s="15"/>
      <c r="V121" s="15"/>
      <c r="W121" s="15"/>
      <c r="X121" s="15"/>
      <c r="Y121" s="15"/>
      <c r="Z121" s="15"/>
      <c r="AA121" s="15"/>
      <c r="AB121" s="18"/>
      <c r="AU121" s="163"/>
      <c r="AV121" s="163"/>
      <c r="AW121" s="163"/>
      <c r="AX121" s="163"/>
      <c r="AY121" s="163"/>
      <c r="AZ121" s="163"/>
      <c r="BA121" s="169">
        <f>((AZ61*AZ63*18)/1728)*0.4</f>
        <v>14.662500000000001</v>
      </c>
      <c r="BB121" s="169">
        <f>((AZ61*(18-4.5)*AY65)/1728)*0.4</f>
        <v>13.943750000000001</v>
      </c>
      <c r="BC121" s="163">
        <f>((AZ61*18*(18-4.5))/1728)*0.4</f>
        <v>2.5875000000000004</v>
      </c>
      <c r="BD121" s="169">
        <f>2*(BA121+BB121+BC121)</f>
        <v>62.387500000000003</v>
      </c>
      <c r="BE121" s="163">
        <f>122.58+BD121</f>
        <v>184.9675</v>
      </c>
      <c r="BF121" s="163"/>
      <c r="BG121" s="163"/>
      <c r="BH121" s="163"/>
      <c r="BI121" s="249"/>
      <c r="BJ121" s="240"/>
      <c r="BK121" s="264"/>
      <c r="BL121" s="264"/>
      <c r="BM121" s="264"/>
      <c r="BN121" s="248"/>
      <c r="BO121" s="163"/>
      <c r="BP121" s="163"/>
      <c r="BQ121" s="169"/>
      <c r="BR121" s="169"/>
      <c r="BS121" s="365"/>
      <c r="BT121" s="309"/>
      <c r="BU121" s="371"/>
      <c r="BV121" s="371"/>
      <c r="BW121" s="212">
        <f>IF(BT122="yes",         1,      IF(BT120="yes",       3,       2))</f>
        <v>1</v>
      </c>
      <c r="BX121" s="205"/>
      <c r="BY121" s="215"/>
      <c r="BZ121" s="215"/>
      <c r="CA121" s="215"/>
      <c r="CB121" s="244"/>
      <c r="CC121" s="287"/>
      <c r="CD121" s="7"/>
      <c r="CE121" s="7"/>
      <c r="CF121" s="30"/>
      <c r="CG121" s="22"/>
      <c r="CH121" s="22"/>
      <c r="CI121" s="22"/>
    </row>
    <row r="122" spans="2:98" ht="15" customHeight="1" x14ac:dyDescent="0.25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20"/>
      <c r="N122" s="15"/>
      <c r="O122" s="15"/>
      <c r="P122" s="11"/>
      <c r="Q122" s="11"/>
      <c r="R122" s="11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U122" s="163"/>
      <c r="AV122" s="163"/>
      <c r="AW122" s="163"/>
      <c r="AX122" s="163"/>
      <c r="AY122" s="163"/>
      <c r="AZ122" s="163"/>
      <c r="BA122" s="163"/>
      <c r="BB122" s="163"/>
      <c r="BC122" s="163"/>
      <c r="BD122" s="163"/>
      <c r="BE122" s="163"/>
      <c r="BF122" s="163"/>
      <c r="BG122" s="163"/>
      <c r="BH122" s="163"/>
      <c r="BI122" s="214"/>
      <c r="BJ122" s="240"/>
      <c r="BK122" s="264"/>
      <c r="BL122" s="264"/>
      <c r="BM122" s="264"/>
      <c r="BN122" s="248"/>
      <c r="BO122" s="163"/>
      <c r="BP122" s="212"/>
      <c r="BQ122" s="163"/>
      <c r="BR122" s="163"/>
      <c r="BS122" s="271" t="s">
        <v>146</v>
      </c>
      <c r="BT122" s="212" t="str">
        <f>IF(BT114&lt;4,      "yes",        "no")</f>
        <v>yes</v>
      </c>
      <c r="BU122" s="241" t="s">
        <v>147</v>
      </c>
      <c r="BV122" s="241"/>
      <c r="BW122" s="206"/>
      <c r="BX122" s="205"/>
      <c r="BY122" s="215"/>
      <c r="BZ122" s="215"/>
      <c r="CA122" s="215"/>
      <c r="CB122" s="244"/>
      <c r="CC122" s="287"/>
      <c r="CD122" s="3"/>
      <c r="CE122" s="12"/>
      <c r="CF122" s="27"/>
      <c r="CG122" s="22"/>
      <c r="CH122" s="22"/>
      <c r="CI122" s="22"/>
    </row>
    <row r="123" spans="2:98" ht="14.25" customHeight="1" x14ac:dyDescent="0.25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20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U123" s="163"/>
      <c r="AV123" s="163"/>
      <c r="AW123" s="163"/>
      <c r="AX123" s="163" t="s">
        <v>71</v>
      </c>
      <c r="AY123" s="163">
        <f>IF(H15="Imperial",          IF(H19="SC-44",           12,         6),         IF(H19="SC-44",           300,         150))</f>
        <v>6</v>
      </c>
      <c r="AZ123" s="163"/>
      <c r="BA123" s="163"/>
      <c r="BB123" s="163"/>
      <c r="BC123" s="163"/>
      <c r="BD123" s="163"/>
      <c r="BE123" s="163"/>
      <c r="BF123" s="163"/>
      <c r="BG123" s="163"/>
      <c r="BH123" s="163"/>
      <c r="BI123" s="214"/>
      <c r="BJ123" s="240"/>
      <c r="BK123" s="264"/>
      <c r="BL123" s="264"/>
      <c r="BM123" s="264"/>
      <c r="BN123" s="248"/>
      <c r="BO123" s="163"/>
      <c r="BP123" s="212"/>
      <c r="BQ123" s="163"/>
      <c r="BR123" s="163"/>
      <c r="BS123" s="163"/>
      <c r="BT123" s="163"/>
      <c r="BU123" s="163"/>
      <c r="BV123" s="241"/>
      <c r="BW123" s="206"/>
      <c r="BX123" s="205"/>
      <c r="BY123" s="215"/>
      <c r="BZ123" s="215"/>
      <c r="CA123" s="215"/>
      <c r="CB123" s="244"/>
      <c r="CC123" s="287"/>
      <c r="CD123" s="3"/>
      <c r="CE123" s="12"/>
      <c r="CF123" s="27"/>
    </row>
    <row r="124" spans="2:98" ht="15" customHeight="1" x14ac:dyDescent="0.25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20"/>
      <c r="N124" s="15"/>
      <c r="O124" s="15"/>
      <c r="P124" s="11"/>
      <c r="Q124" s="11"/>
      <c r="R124" s="11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U124" s="163"/>
      <c r="AV124" s="163"/>
      <c r="AW124" s="163"/>
      <c r="AX124" s="163" t="s">
        <v>72</v>
      </c>
      <c r="AY124" s="163">
        <f>IF(H15="Imperial",       IF(H19="SC-44",       96,       192),    IF(H19="SC-44",     2435,     4875))</f>
        <v>192</v>
      </c>
      <c r="AZ124" s="163"/>
      <c r="BA124" s="163"/>
      <c r="BB124" s="163"/>
      <c r="BC124" s="163"/>
      <c r="BD124" s="163"/>
      <c r="BE124" s="163"/>
      <c r="BF124" s="163"/>
      <c r="BG124" s="163"/>
      <c r="BH124" s="163"/>
      <c r="BI124" s="235"/>
      <c r="BJ124" s="240"/>
      <c r="BK124" s="264"/>
      <c r="BL124" s="264"/>
      <c r="BM124" s="264"/>
      <c r="BN124" s="248"/>
      <c r="BO124" s="163"/>
      <c r="BP124" s="212"/>
      <c r="BQ124" s="163"/>
      <c r="BR124" s="163"/>
      <c r="BS124" s="163"/>
      <c r="BT124" s="163"/>
      <c r="BU124" s="241"/>
      <c r="BV124" s="241"/>
      <c r="BW124" s="206"/>
      <c r="BX124" s="205"/>
      <c r="BY124" s="215"/>
      <c r="BZ124" s="215"/>
      <c r="CA124" s="215"/>
      <c r="CB124" s="244"/>
      <c r="CC124" s="287"/>
      <c r="CD124" s="21"/>
      <c r="CE124" s="21"/>
      <c r="CF124" s="27"/>
    </row>
    <row r="125" spans="2:98" ht="15" customHeight="1" x14ac:dyDescent="0.25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20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U125" s="163"/>
      <c r="AV125" s="163"/>
      <c r="AW125" s="163"/>
      <c r="AX125" s="163"/>
      <c r="AY125" s="163"/>
      <c r="AZ125" s="163"/>
      <c r="BA125" s="163"/>
      <c r="BB125" s="163"/>
      <c r="BC125" s="163"/>
      <c r="BD125" s="163"/>
      <c r="BE125" s="163"/>
      <c r="BF125" s="163"/>
      <c r="BG125" s="163"/>
      <c r="BH125" s="163"/>
      <c r="BI125" s="235"/>
      <c r="BJ125" s="240"/>
      <c r="BK125" s="264"/>
      <c r="BL125" s="264"/>
      <c r="BM125" s="264"/>
      <c r="BN125" s="248"/>
      <c r="BO125" s="163"/>
      <c r="BP125" s="212"/>
      <c r="BQ125" s="243"/>
      <c r="BR125" s="243"/>
      <c r="BS125" s="163"/>
      <c r="BT125" s="163"/>
      <c r="BU125" s="163"/>
      <c r="BV125" s="241"/>
      <c r="BW125" s="206"/>
      <c r="BX125" s="205"/>
      <c r="BY125" s="215"/>
      <c r="BZ125" s="215"/>
      <c r="CA125" s="215"/>
      <c r="CB125" s="244"/>
      <c r="CC125" s="207"/>
      <c r="CD125" s="21"/>
      <c r="CE125" s="21"/>
      <c r="CF125" s="27"/>
    </row>
    <row r="126" spans="2:98" ht="15" customHeight="1" x14ac:dyDescent="0.25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20"/>
      <c r="N126" s="15"/>
      <c r="O126" s="15"/>
      <c r="P126" s="11"/>
      <c r="Q126" s="11"/>
      <c r="R126" s="11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U126" s="163"/>
      <c r="AV126" s="163"/>
      <c r="AW126" s="163"/>
      <c r="AX126" s="163" t="s">
        <v>73</v>
      </c>
      <c r="AY126" s="163">
        <f>IF(H15="Imperial",         IF(H19="SC-44",       22,       18),            IF(H19="SC-44",        550,         450))</f>
        <v>18</v>
      </c>
      <c r="AZ126" s="163"/>
      <c r="BA126" s="163"/>
      <c r="BB126" s="163"/>
      <c r="BC126" s="163"/>
      <c r="BD126" s="163"/>
      <c r="BE126" s="163"/>
      <c r="BF126" s="163"/>
      <c r="BG126" s="163"/>
      <c r="BH126" s="163"/>
      <c r="BI126" s="235"/>
      <c r="BJ126" s="240"/>
      <c r="BK126" s="264"/>
      <c r="BL126" s="264"/>
      <c r="BM126" s="264"/>
      <c r="BN126" s="248"/>
      <c r="BO126" s="163"/>
      <c r="BP126" s="212"/>
      <c r="BQ126" s="163"/>
      <c r="BR126" s="163"/>
      <c r="BS126" s="271"/>
      <c r="BT126" s="212"/>
      <c r="BU126" s="241"/>
      <c r="BV126" s="241"/>
      <c r="BW126" s="206"/>
      <c r="BX126" s="205"/>
      <c r="BY126" s="215"/>
      <c r="BZ126" s="215"/>
      <c r="CA126" s="215"/>
      <c r="CB126" s="244"/>
      <c r="CC126" s="207"/>
      <c r="CD126" s="21"/>
      <c r="CE126" s="21"/>
      <c r="CF126" s="27"/>
    </row>
    <row r="127" spans="2:98" ht="15.75" customHeight="1" x14ac:dyDescent="0.25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20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U127" s="163"/>
      <c r="AV127" s="163"/>
      <c r="AW127" s="163"/>
      <c r="AX127" s="163"/>
      <c r="AY127" s="163"/>
      <c r="AZ127" s="163"/>
      <c r="BA127" s="163"/>
      <c r="BB127" s="163"/>
      <c r="BC127" s="163"/>
      <c r="BD127" s="163"/>
      <c r="BE127" s="163"/>
      <c r="BF127" s="163"/>
      <c r="BG127" s="163"/>
      <c r="BH127" s="163"/>
      <c r="BI127" s="235"/>
      <c r="BJ127" s="240"/>
      <c r="BK127" s="264"/>
      <c r="BL127" s="264"/>
      <c r="BM127" s="264"/>
      <c r="BN127" s="248"/>
      <c r="BO127" s="163"/>
      <c r="BP127" s="212"/>
      <c r="BQ127" s="163"/>
      <c r="BR127" s="163"/>
      <c r="BS127" s="163"/>
      <c r="BT127" s="163"/>
      <c r="BU127" s="163"/>
      <c r="BV127" s="163"/>
      <c r="BW127" s="206"/>
      <c r="BX127" s="205"/>
      <c r="BY127" s="215"/>
      <c r="BZ127" s="215"/>
      <c r="CA127" s="215"/>
      <c r="CB127" s="244"/>
      <c r="CC127" s="207"/>
      <c r="CD127" s="21"/>
      <c r="CE127" s="21"/>
      <c r="CF127" s="28"/>
    </row>
    <row r="128" spans="2:98" ht="15" customHeight="1" x14ac:dyDescent="0.25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20"/>
      <c r="N128" s="15"/>
      <c r="O128" s="15"/>
      <c r="P128" s="11"/>
      <c r="Q128" s="11"/>
      <c r="R128" s="11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U128" s="163"/>
      <c r="AV128" s="163"/>
      <c r="AW128" s="163"/>
      <c r="AX128" s="163" t="s">
        <v>74</v>
      </c>
      <c r="AY128" s="163">
        <f>IF(H15="Imperial",          IF(H19="SC-44",         96,           192),           IF(H19="SC-44",           2435,           4880))</f>
        <v>192</v>
      </c>
      <c r="AZ128" s="163"/>
      <c r="BA128" s="163"/>
      <c r="BB128" s="163"/>
      <c r="BC128" s="163"/>
      <c r="BD128" s="163"/>
      <c r="BE128" s="163"/>
      <c r="BF128" s="163"/>
      <c r="BG128" s="163"/>
      <c r="BH128" s="163"/>
      <c r="BI128" s="235"/>
      <c r="BJ128" s="240"/>
      <c r="BK128" s="240"/>
      <c r="BL128" s="163"/>
      <c r="BM128" s="163"/>
      <c r="BN128" s="163"/>
      <c r="BO128" s="163"/>
      <c r="BP128" s="212"/>
      <c r="BQ128" s="163"/>
      <c r="BR128" s="163"/>
      <c r="BS128" s="271"/>
      <c r="BT128" s="212"/>
      <c r="BU128" s="241"/>
      <c r="BV128" s="241"/>
      <c r="BW128" s="206"/>
      <c r="BX128" s="205"/>
      <c r="BY128" s="215"/>
      <c r="BZ128" s="215"/>
      <c r="CA128" s="215"/>
      <c r="CB128" s="244"/>
      <c r="CC128" s="207"/>
      <c r="CD128" s="21"/>
      <c r="CE128" s="21"/>
      <c r="CF128" s="28"/>
    </row>
    <row r="129" spans="2:92" ht="15" customHeight="1" x14ac:dyDescent="0.25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U129" s="163"/>
      <c r="AV129" s="163"/>
      <c r="AW129" s="163"/>
      <c r="AX129" s="163"/>
      <c r="AY129" s="163"/>
      <c r="AZ129" s="163" t="s">
        <v>82</v>
      </c>
      <c r="BA129" s="163">
        <f>IF(H15="Imperial",          12,          300)</f>
        <v>12</v>
      </c>
      <c r="BB129" s="163"/>
      <c r="BC129" s="163"/>
      <c r="BD129" s="163"/>
      <c r="BE129" s="163"/>
      <c r="BF129" s="163"/>
      <c r="BG129" s="163"/>
      <c r="BH129" s="163"/>
      <c r="BI129" s="235"/>
      <c r="BJ129" s="240"/>
      <c r="BK129" s="164" t="str">
        <f>IF($H$15="Imperial",                 "Imperial (inches and ft)",               "Metric (mm and meters)")</f>
        <v>Imperial (inches and ft)</v>
      </c>
      <c r="BL129" s="356" t="str">
        <f>IF($H$23=1,               "by system width",             "by system length")</f>
        <v>by system length</v>
      </c>
      <c r="BM129" s="356"/>
      <c r="BN129" s="356"/>
      <c r="BO129" s="356"/>
      <c r="BP129" s="212"/>
      <c r="BQ129" s="355" t="s">
        <v>156</v>
      </c>
      <c r="BR129" s="355"/>
      <c r="BS129" s="355"/>
      <c r="BT129" s="355"/>
      <c r="BU129" s="355"/>
      <c r="BV129" s="355"/>
      <c r="BW129" s="355"/>
      <c r="BX129" s="355"/>
      <c r="BY129" s="355"/>
      <c r="BZ129" s="305"/>
      <c r="CA129" s="305"/>
      <c r="CB129" s="244"/>
      <c r="CC129" s="287"/>
      <c r="CD129" s="21"/>
      <c r="CE129" s="21"/>
      <c r="CF129" s="28"/>
    </row>
    <row r="130" spans="2:92" ht="15" customHeight="1" x14ac:dyDescent="0.25">
      <c r="B130" s="163"/>
      <c r="C130" s="163"/>
      <c r="D130" s="163"/>
      <c r="E130" s="163"/>
      <c r="F130" s="163"/>
      <c r="G130" s="163"/>
      <c r="H130" s="163"/>
      <c r="I130" s="163"/>
      <c r="J130" s="163"/>
      <c r="K130" s="163"/>
      <c r="L130" s="163"/>
      <c r="M130" s="15"/>
      <c r="N130" s="163"/>
      <c r="O130" s="163"/>
      <c r="P130" s="163"/>
      <c r="Q130" s="163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U130" s="163"/>
      <c r="AV130" s="163"/>
      <c r="AW130" s="163"/>
      <c r="AX130" s="163" t="s">
        <v>75</v>
      </c>
      <c r="AY130" s="163">
        <f>IF(H15="Imperial",     IF(H19="SC-18",     6,      9),       IF(H19="SC-18",     150,      225))</f>
        <v>9</v>
      </c>
      <c r="AZ130" s="163"/>
      <c r="BA130" s="163"/>
      <c r="BB130" s="163"/>
      <c r="BC130" s="163"/>
      <c r="BD130" s="163"/>
      <c r="BE130" s="163"/>
      <c r="BF130" s="163"/>
      <c r="BG130" s="163"/>
      <c r="BH130" s="163"/>
      <c r="BI130" s="214"/>
      <c r="BJ130" s="240"/>
      <c r="BK130" s="302" t="s">
        <v>29</v>
      </c>
      <c r="BL130" s="353" t="s">
        <v>32</v>
      </c>
      <c r="BM130" s="302" t="s">
        <v>26</v>
      </c>
      <c r="BN130" s="302" t="s">
        <v>27</v>
      </c>
      <c r="BO130" s="302" t="s">
        <v>28</v>
      </c>
      <c r="BP130" s="251"/>
      <c r="BQ130" s="355"/>
      <c r="BR130" s="355"/>
      <c r="BS130" s="355"/>
      <c r="BT130" s="355"/>
      <c r="BU130" s="355"/>
      <c r="BV130" s="355"/>
      <c r="BW130" s="355"/>
      <c r="BX130" s="355"/>
      <c r="BY130" s="355"/>
      <c r="BZ130" s="305"/>
      <c r="CA130" s="305"/>
      <c r="CB130" s="244"/>
      <c r="CC130" s="287"/>
      <c r="CD130" s="21"/>
      <c r="CE130" s="21"/>
      <c r="CF130" s="28"/>
    </row>
    <row r="131" spans="2:92" ht="15" customHeight="1" x14ac:dyDescent="0.25">
      <c r="B131" s="163"/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  <c r="M131" s="15"/>
      <c r="N131" s="163"/>
      <c r="O131" s="163"/>
      <c r="P131" s="163"/>
      <c r="Q131" s="163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U131" s="163"/>
      <c r="AV131" s="163"/>
      <c r="AW131" s="163"/>
      <c r="AX131" s="288" t="str">
        <f>IF(H15="Imperial",         "Cubic Yards",         "Cubic Meters")</f>
        <v>Cubic Yards</v>
      </c>
      <c r="AY131" s="289" t="s">
        <v>165</v>
      </c>
      <c r="AZ131" s="289" t="s">
        <v>164</v>
      </c>
      <c r="BA131" s="289" t="s">
        <v>166</v>
      </c>
      <c r="BB131" s="163"/>
      <c r="BC131" s="163"/>
      <c r="BD131" s="163"/>
      <c r="BE131" s="163"/>
      <c r="BF131" s="163"/>
      <c r="BG131" s="163"/>
      <c r="BH131" s="163"/>
      <c r="BI131" s="214"/>
      <c r="BJ131" s="240"/>
      <c r="BK131" s="302"/>
      <c r="BL131" s="353"/>
      <c r="BM131" s="302"/>
      <c r="BN131" s="302"/>
      <c r="BO131" s="302"/>
      <c r="BP131" s="251"/>
      <c r="BQ131" s="359" t="s">
        <v>119</v>
      </c>
      <c r="BR131" s="359"/>
      <c r="BS131" s="359"/>
      <c r="BT131" s="359"/>
      <c r="BU131" s="359"/>
      <c r="BV131" s="359"/>
      <c r="BW131" s="359"/>
      <c r="BX131" s="359"/>
      <c r="BY131" s="359"/>
      <c r="BZ131" s="305"/>
      <c r="CA131" s="305"/>
      <c r="CB131" s="244"/>
      <c r="CC131" s="287"/>
      <c r="CD131" s="21"/>
      <c r="CE131" s="21"/>
      <c r="CF131" s="28"/>
    </row>
    <row r="132" spans="2:92" ht="15" customHeight="1" x14ac:dyDescent="0.25">
      <c r="B132" s="163"/>
      <c r="C132" s="163"/>
      <c r="D132" s="163"/>
      <c r="E132" s="163"/>
      <c r="F132" s="163"/>
      <c r="G132" s="163"/>
      <c r="H132" s="163"/>
      <c r="I132" s="163"/>
      <c r="J132" s="164"/>
      <c r="K132" s="163"/>
      <c r="L132" s="165"/>
      <c r="M132" s="163"/>
      <c r="N132" s="163"/>
      <c r="O132" s="163"/>
      <c r="P132" s="163"/>
      <c r="Q132" s="163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U132" s="163"/>
      <c r="AV132" s="163"/>
      <c r="AW132" s="163"/>
      <c r="AX132" s="167" t="s">
        <v>169</v>
      </c>
      <c r="AY132" s="163">
        <f>IF(U33=0,     IF(H15="Imperial",           (P31*P33*P35)/27,               (P31*P33*P35)),      IF(H15="Imperial",       ((P31*P33*P35)-((U33-U31)*BH67))/27,      (P31*P33*P35)-((U33-U31)*BH67)))</f>
        <v>581.40619341563786</v>
      </c>
      <c r="AZ132" s="163">
        <f>IF(H15="Imperial",       IF(U33=0,        IF(X31&lt;=2,           ((U31*X31)*AY67)/27,           (((2*U31)*AY67)+(((X31-2)*U31)*BD67))/27),               IF(X33&lt;=2,         (((U33*X33)*AY67)+((U31*X31)*BD67))/27,                                              IF(X31&lt;=2,               (((2*U33)*AY67)+((U31*X31)*AY67)+(((X33-2)*U33)*BD67))/27,                  (((2*U33)*AY67)+((2*U31)*AY67)+(((X33-2)*U33)*BD67)+(((X31-2)*U31)*BD67))/27))),                                          IF(U33=0,             IF(X31&lt;=2,                 (U31*X31)*AY67,                    ((2*U31)*AY67)+(((X31-2)*U31)*BD67)),                           IF(X33&lt;=2,             ((U33*X33)*AY67)+((U31*X31)*BD67),                                              IF(X31&lt;=2,               ((2*U33)*AY67)+((U31*X31)*AY67)+(((X33-2)*U33)*BD67),                  ((2*U33)*AY67)+((2*U31)*AY67)+(((X33-2)*U33)*BD67)+(((X31-2)*U31)*BD67)))))</f>
        <v>232.94814814814816</v>
      </c>
      <c r="BA132" s="163">
        <f>AY132-AZ132</f>
        <v>348.45804526748969</v>
      </c>
      <c r="BB132" s="163"/>
      <c r="BC132" s="163"/>
      <c r="BD132" s="163"/>
      <c r="BE132" s="163"/>
      <c r="BF132" s="163"/>
      <c r="BG132" s="163"/>
      <c r="BH132" s="163"/>
      <c r="BI132" s="214"/>
      <c r="BJ132" s="240"/>
      <c r="BK132" s="302"/>
      <c r="BL132" s="353"/>
      <c r="BM132" s="302"/>
      <c r="BN132" s="302"/>
      <c r="BO132" s="302"/>
      <c r="BP132" s="251"/>
      <c r="BQ132" s="359"/>
      <c r="BR132" s="359"/>
      <c r="BS132" s="359"/>
      <c r="BT132" s="359"/>
      <c r="BU132" s="359"/>
      <c r="BV132" s="359"/>
      <c r="BW132" s="359"/>
      <c r="BX132" s="359"/>
      <c r="BY132" s="359"/>
      <c r="BZ132" s="305" t="s">
        <v>98</v>
      </c>
      <c r="CA132" s="341" t="s">
        <v>99</v>
      </c>
      <c r="CB132" s="244"/>
      <c r="CC132" s="287"/>
      <c r="CD132" s="21"/>
      <c r="CE132" s="21"/>
      <c r="CF132" s="28"/>
    </row>
    <row r="133" spans="2:92" ht="15" customHeight="1" x14ac:dyDescent="0.25">
      <c r="B133" s="163"/>
      <c r="C133" s="163"/>
      <c r="D133" s="163"/>
      <c r="E133" s="163"/>
      <c r="F133" s="166">
        <v>18</v>
      </c>
      <c r="G133" s="166"/>
      <c r="H133" s="166">
        <v>34</v>
      </c>
      <c r="I133" s="166">
        <v>44</v>
      </c>
      <c r="J133" s="163"/>
      <c r="K133" s="163"/>
      <c r="L133" s="163"/>
      <c r="M133" s="163"/>
      <c r="N133" s="163"/>
      <c r="O133" s="163"/>
      <c r="P133" s="163"/>
      <c r="Q133" s="163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U133" s="163"/>
      <c r="AV133" s="163"/>
      <c r="AW133" s="163"/>
      <c r="AX133" s="167"/>
      <c r="AY133" s="163"/>
      <c r="AZ133" s="163"/>
      <c r="BA133" s="163"/>
      <c r="BB133" s="163"/>
      <c r="BC133" s="163"/>
      <c r="BD133" s="163"/>
      <c r="BE133" s="163"/>
      <c r="BF133" s="163"/>
      <c r="BG133" s="163"/>
      <c r="BH133" s="163"/>
      <c r="BI133" s="206"/>
      <c r="BJ133" s="240"/>
      <c r="BK133" s="302"/>
      <c r="BL133" s="242">
        <f>IF(H37&lt;3,     0,        IF(BO149=1,         IF(BO150=1,    1,    2),             IF(BO150=1,    2,    4)))</f>
        <v>0</v>
      </c>
      <c r="BM133" s="242">
        <f>IF(BL133=0,     0,        IF(BL133=1,          BL133*(AZ31+AZ33),                  IF(BL133=2,             IF(BO150=1,         BD31+BD33,            BG31+BG33),             BL133*AZ93)))</f>
        <v>0</v>
      </c>
      <c r="BN133" s="242">
        <f>IF(BL133=0,     0,        IF(BL133=1,          BL133*AZ7,                  IF(BL133=2,             IF(BO150=1,         BD7,            BL133*AY93),             BL133*AY93)))</f>
        <v>0</v>
      </c>
      <c r="BO133" s="242">
        <f>BM133+BN133</f>
        <v>0</v>
      </c>
      <c r="BP133" s="260"/>
      <c r="BQ133" s="342" t="str">
        <f>IF($H$15="Imperial",       "Required Cubic Feet",       "Required Cubic Meters")</f>
        <v>Required Cubic Feet</v>
      </c>
      <c r="BR133" s="342" t="str">
        <f>IF($H$15="Imperial",       "Required Cubic Inches",       "Required Cubic mm")</f>
        <v>Required Cubic Inches</v>
      </c>
      <c r="BS133" s="342" t="str">
        <f>IF(BU2=1,       "Constraint Dimension (Width)",       "Constraint Dimension (Length)")</f>
        <v>Constraint Dimension (Length)</v>
      </c>
      <c r="BT133" s="342" t="str">
        <f>IF(BU2=1,       "(Constraint Width-2endR Width)/midR Width",       "(Constriant Length-2endC length)/midC length")</f>
        <v>(Constriant Length-2endC length)/midC length</v>
      </c>
      <c r="BU133" s="342"/>
      <c r="BV133" s="342" t="str">
        <f>IF(BU2=1,       "RoundDown for Maximum Number of midR",       "RoundDown for Maximum Number of midCs per Row")</f>
        <v>RoundDown for Maximum Number of midCs per Row</v>
      </c>
      <c r="BW133" s="342"/>
      <c r="BX133" s="342" t="str">
        <f>IF(BU2=1,       "Max suggested Number of Rows",      "Maximum Number of Chambers per Row")</f>
        <v>Maximum Number of Chambers per Row</v>
      </c>
      <c r="BY133" s="342"/>
      <c r="BZ133" s="305"/>
      <c r="CA133" s="341"/>
      <c r="CB133" s="244"/>
      <c r="CC133" s="287"/>
      <c r="CD133" s="21"/>
      <c r="CE133" s="21"/>
      <c r="CF133" s="28"/>
    </row>
    <row r="134" spans="2:92" ht="15.75" x14ac:dyDescent="0.25">
      <c r="B134" s="163"/>
      <c r="C134" s="163"/>
      <c r="D134" s="167" t="s">
        <v>77</v>
      </c>
      <c r="E134" s="163"/>
      <c r="F134" s="168">
        <v>6</v>
      </c>
      <c r="G134" s="168"/>
      <c r="H134" s="168">
        <v>6</v>
      </c>
      <c r="I134" s="168">
        <v>9</v>
      </c>
      <c r="J134" s="163"/>
      <c r="K134" s="163"/>
      <c r="L134" s="165"/>
      <c r="M134" s="163"/>
      <c r="N134" s="169"/>
      <c r="O134" s="169"/>
      <c r="P134" s="163"/>
      <c r="Q134" s="163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U134" s="163"/>
      <c r="AV134" s="163"/>
      <c r="AW134" s="163"/>
      <c r="AX134" s="167" t="s">
        <v>160</v>
      </c>
      <c r="AY134" s="163"/>
      <c r="AZ134" s="163"/>
      <c r="BA134" s="163"/>
      <c r="BB134" s="163"/>
      <c r="BC134" s="163"/>
      <c r="BD134" s="163"/>
      <c r="BE134" s="163"/>
      <c r="BF134" s="163"/>
      <c r="BG134" s="163"/>
      <c r="BH134" s="163"/>
      <c r="BI134" s="206"/>
      <c r="BJ134" s="240"/>
      <c r="BK134" s="302" t="s">
        <v>30</v>
      </c>
      <c r="BL134" s="353" t="s">
        <v>32</v>
      </c>
      <c r="BM134" s="302" t="s">
        <v>26</v>
      </c>
      <c r="BN134" s="302" t="s">
        <v>27</v>
      </c>
      <c r="BO134" s="302" t="s">
        <v>28</v>
      </c>
      <c r="BP134" s="163"/>
      <c r="BQ134" s="342"/>
      <c r="BR134" s="342"/>
      <c r="BS134" s="342"/>
      <c r="BT134" s="342"/>
      <c r="BU134" s="342"/>
      <c r="BV134" s="342"/>
      <c r="BW134" s="342"/>
      <c r="BX134" s="342"/>
      <c r="BY134" s="342"/>
      <c r="BZ134" s="345">
        <f>IF(BU2=1,    IF(H15="Imperial",      IF(BX135=1,    (AZ91+H55-(H45/2))/12,   ((2*AZ91)+((BX135-2)*BA91))/12),          IF(BX135=1,        (AZ91+H55-(H45/2))/1000,      ((2*AZ91)+((BX135-2)*BA91))/1000)),                            IF(H15="Imperial",          IF(BU142=1,     (AZ91+H55-(H45/2))/12,      ((2*AZ91)+((BU142-2)*BA91))/12),             IF(BU142=1,        (AZ91+H55-(H45/2))/1000,      ((2*AZ91)+((BU142-2)*BA91))/1000)))</f>
        <v>7</v>
      </c>
      <c r="CA134" s="345">
        <f>IF(BU2=1,                 "N/A",                 IF(H15="Imperial",                  IF(BX135=1,                 (AZ5+H55+H55)/12,               ((2*AZ92)+((BX135-2)*BE92))/12),                                                                                                                              IF(BX135=1,            (AZ5+H55+H55)/1000,               ((2*AZ92)+((BX135-2)*BE92))/1000)))</f>
        <v>10.583333333333334</v>
      </c>
      <c r="CB134" s="244"/>
      <c r="CC134" s="287"/>
      <c r="CD134" s="21"/>
      <c r="CE134" s="21"/>
    </row>
    <row r="135" spans="2:92" ht="15" customHeight="1" x14ac:dyDescent="0.25">
      <c r="B135" s="163"/>
      <c r="C135" s="163"/>
      <c r="D135" s="167" t="s">
        <v>78</v>
      </c>
      <c r="E135" s="163"/>
      <c r="F135" s="168">
        <v>96</v>
      </c>
      <c r="G135" s="168"/>
      <c r="H135" s="168">
        <v>96</v>
      </c>
      <c r="I135" s="168">
        <v>96</v>
      </c>
      <c r="J135" s="163"/>
      <c r="K135" s="163"/>
      <c r="L135" s="163"/>
      <c r="M135" s="163"/>
      <c r="N135" s="169"/>
      <c r="O135" s="169"/>
      <c r="P135" s="163"/>
      <c r="Q135" s="163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U135" s="163"/>
      <c r="AV135" s="163"/>
      <c r="AW135" s="163"/>
      <c r="AX135" s="286" t="s">
        <v>161</v>
      </c>
      <c r="AY135" s="163">
        <f>IF(H15="Imperial",                (P43*P45*P47)/27,           P43*P45*P47)</f>
        <v>0</v>
      </c>
      <c r="AZ135" s="163">
        <f>IF(H15="Imperial",        IF(U45=0,         IF(X43&lt;=2,          ((U43*X43)*AY81)/27,            ((((X43-2)*U43)*BD81)+((2*U43)*AY81))/27),       IF(X45&lt;=2,      (((U45*X45)*AY81)+((U43*X43)*AY81))/27,       IF(X43&lt;=2,      (((2*U45)*AY81)+((U43*X43)*AY81)+(((X45-2)*U45)*BD81))/27,                    (((2*U45)*AY81)+((2*U43)*AY81)+(((X45-2)*U45)*BD81)+(((X43-2)*U43)*BD81))/27))),                                         IF(U45=0,                 IF(X43&lt;=2,               (U43*X43)*AY81,            (((X43-2)*U43)*BD81)+((2*U43)*AY81)),               IF(X45&lt;=2,          ((U45*X45)*AY81)+((U43*X43)*AY81),                       IF(X43&lt;=2,                         ((2*U45)*AY81)+((U43*X43)*AY81)+(((X45-2)*U45)*BD81),           ((2*U45)*AY81)+((2*U43)*AY81)+(((X45-2)*U45)*BD81)+(((X43-2)*U43)*BD81)))))</f>
        <v>0</v>
      </c>
      <c r="BA135" s="163">
        <f>AY135-AZ135</f>
        <v>0</v>
      </c>
      <c r="BB135" s="163"/>
      <c r="BC135" s="163"/>
      <c r="BD135" s="163"/>
      <c r="BE135" s="163"/>
      <c r="BF135" s="163"/>
      <c r="BG135" s="163"/>
      <c r="BH135" s="163"/>
      <c r="BI135" s="215"/>
      <c r="BJ135" s="215"/>
      <c r="BK135" s="302"/>
      <c r="BL135" s="353"/>
      <c r="BM135" s="302"/>
      <c r="BN135" s="302"/>
      <c r="BO135" s="302"/>
      <c r="BP135" s="163"/>
      <c r="BQ135" s="305">
        <f>IF($H$37=1,       0,                 IF($H$37=2,      0,             IF(H37=3,      $H$17/3,        (H17-BO192)/3)))</f>
        <v>0</v>
      </c>
      <c r="BR135" s="348">
        <f>IF($H$15="Imperial",         BQ135*1728,        BQ135*1000000000)</f>
        <v>0</v>
      </c>
      <c r="BS135" s="305">
        <f>IF(H37&lt;3,       0,       IF(H37=4,        IF(BU2=2,    BO194,        BO193),         H25))</f>
        <v>0</v>
      </c>
      <c r="BT135" s="305">
        <f>IF($H$15="Imperial",                    IF(BU2=1,              ((BS135*12)-(2*AZ91))/BA91,                                    ((BS135*12)-(2*AZ92))/BE92),                                                                                                                                                                            IF(BU2=1,                                                                                                                     ((BS135*1000)-(2*AZ91))/BA91,                                ((BS135*1000)-(2*AZ92))/BE92))</f>
        <v>-2.3956043956043955</v>
      </c>
      <c r="BU135" s="305"/>
      <c r="BV135" s="305">
        <f>IF(BT135&lt;0,        0,         ROUNDDOWN(BT135,0))</f>
        <v>0</v>
      </c>
      <c r="BW135" s="305"/>
      <c r="BX135" s="305">
        <f>IF(BQ135&lt;=AZ35,     1,    IF(H15="Imperial",      IF(BU2=1,         IF(BS135&lt;(((2*AZ91)/12)),         1,     BV135+2),             IF(BS135&lt;(((2*AZ92)/12)),      1,    BV135+2)),                                                                                        IF(BU2=1,                                                                                                IF(BS135&lt;(((2*AZ91)/1000)),     1,     BV135+2),             IF(BS135&lt;(((2*AZ92)/1000)),       1,     BV135+2))))</f>
        <v>1</v>
      </c>
      <c r="BY135" s="305"/>
      <c r="BZ135" s="345"/>
      <c r="CA135" s="345"/>
      <c r="CB135" s="244"/>
      <c r="CC135" s="287"/>
      <c r="CD135" s="21"/>
      <c r="CE135" s="21"/>
    </row>
    <row r="136" spans="2:92" ht="15" customHeight="1" x14ac:dyDescent="0.25">
      <c r="B136" s="163"/>
      <c r="C136" s="163"/>
      <c r="D136" s="167"/>
      <c r="E136" s="163"/>
      <c r="F136" s="168"/>
      <c r="G136" s="168"/>
      <c r="H136" s="168"/>
      <c r="I136" s="168"/>
      <c r="J136" s="163"/>
      <c r="K136" s="163"/>
      <c r="L136" s="163"/>
      <c r="M136" s="163"/>
      <c r="N136" s="169"/>
      <c r="O136" s="169"/>
      <c r="P136" s="163"/>
      <c r="Q136" s="163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U136" s="163"/>
      <c r="AV136" s="163"/>
      <c r="AW136" s="163"/>
      <c r="AX136" s="286" t="s">
        <v>167</v>
      </c>
      <c r="AY136" s="163">
        <f>AY132+AY135</f>
        <v>581.40619341563786</v>
      </c>
      <c r="AZ136" s="163">
        <f t="shared" ref="AZ136:BA136" si="1">AZ132+AZ135</f>
        <v>232.94814814814816</v>
      </c>
      <c r="BA136" s="163">
        <f t="shared" si="1"/>
        <v>348.45804526748969</v>
      </c>
      <c r="BB136" s="163"/>
      <c r="BC136" s="163"/>
      <c r="BD136" s="163"/>
      <c r="BE136" s="163"/>
      <c r="BF136" s="163"/>
      <c r="BG136" s="163"/>
      <c r="BH136" s="163"/>
      <c r="BI136" s="215"/>
      <c r="BJ136" s="215"/>
      <c r="BK136" s="302"/>
      <c r="BL136" s="353"/>
      <c r="BM136" s="302"/>
      <c r="BN136" s="302"/>
      <c r="BO136" s="302"/>
      <c r="BP136" s="163"/>
      <c r="BQ136" s="305"/>
      <c r="BR136" s="348"/>
      <c r="BS136" s="305"/>
      <c r="BT136" s="305"/>
      <c r="BU136" s="305"/>
      <c r="BV136" s="305"/>
      <c r="BW136" s="305"/>
      <c r="BX136" s="305"/>
      <c r="BY136" s="305"/>
      <c r="BZ136" s="276"/>
      <c r="CA136" s="276"/>
      <c r="CB136" s="244"/>
      <c r="CC136" s="287"/>
      <c r="CD136" s="21"/>
      <c r="CE136" s="21"/>
    </row>
    <row r="137" spans="2:92" ht="15" customHeight="1" x14ac:dyDescent="0.25">
      <c r="B137" s="163"/>
      <c r="C137" s="163"/>
      <c r="D137" s="167" t="s">
        <v>79</v>
      </c>
      <c r="E137" s="163"/>
      <c r="F137" s="168">
        <v>18</v>
      </c>
      <c r="G137" s="168"/>
      <c r="H137" s="168">
        <v>18</v>
      </c>
      <c r="I137" s="168">
        <v>22</v>
      </c>
      <c r="J137" s="164"/>
      <c r="K137" s="163"/>
      <c r="L137" s="163"/>
      <c r="M137" s="163"/>
      <c r="N137" s="163"/>
      <c r="O137" s="163"/>
      <c r="P137" s="163"/>
      <c r="Q137" s="163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U137" s="163"/>
      <c r="AV137" s="163"/>
      <c r="AW137" s="163"/>
      <c r="AX137" s="167"/>
      <c r="AY137" s="163"/>
      <c r="AZ137" s="163"/>
      <c r="BA137" s="163"/>
      <c r="BB137" s="163"/>
      <c r="BC137" s="163"/>
      <c r="BD137" s="163"/>
      <c r="BE137" s="163"/>
      <c r="BF137" s="163"/>
      <c r="BG137" s="163"/>
      <c r="BH137" s="163"/>
      <c r="BI137" s="220"/>
      <c r="BJ137" s="220"/>
      <c r="BK137" s="302"/>
      <c r="BL137" s="246">
        <f>IF(H37&lt;3,       0,         IF(BT153=0,        0,         IF(BO149=1,        BT153,    2*BT153)))</f>
        <v>0</v>
      </c>
      <c r="BM137" s="265">
        <f>BL137*BE93</f>
        <v>0</v>
      </c>
      <c r="BN137" s="248">
        <f>BL137*BD93</f>
        <v>0</v>
      </c>
      <c r="BO137" s="242">
        <f>IF(BL137=0,           0,                 IF(H15="Imperial",               IF(BS156=1,                BM137+BN137+(BL137*((((H55-(H45/2))*AZ89*AZ92)/1728)*(H33/100))),                        BM137+BN137),                                                           IF(BS156=1,                                                                                                              BM137+BN137+(BL137*((((H55-(H45/2))*AZ89*AZ92)/1000000000)*(H33/100))),                   BM137+BN137)))</f>
        <v>0</v>
      </c>
      <c r="BP137" s="163"/>
      <c r="BQ137" s="341" t="s">
        <v>230</v>
      </c>
      <c r="BR137" s="341"/>
      <c r="BS137" s="341"/>
      <c r="BT137" s="341"/>
      <c r="BU137" s="341"/>
      <c r="BV137" s="341"/>
      <c r="BW137" s="341"/>
      <c r="BX137" s="341"/>
      <c r="BY137" s="341"/>
      <c r="BZ137" s="276"/>
      <c r="CA137" s="276"/>
      <c r="CB137" s="244"/>
      <c r="CC137" s="287"/>
      <c r="CD137" s="21"/>
      <c r="CE137" s="21"/>
    </row>
    <row r="138" spans="2:92" ht="15" customHeight="1" x14ac:dyDescent="0.25">
      <c r="B138" s="163"/>
      <c r="C138" s="163"/>
      <c r="D138" s="167" t="s">
        <v>80</v>
      </c>
      <c r="E138" s="163"/>
      <c r="F138" s="168">
        <v>192</v>
      </c>
      <c r="G138" s="168"/>
      <c r="H138" s="168">
        <v>192</v>
      </c>
      <c r="I138" s="168">
        <v>96</v>
      </c>
      <c r="J138" s="163"/>
      <c r="K138" s="163"/>
      <c r="L138" s="163"/>
      <c r="M138" s="170"/>
      <c r="N138" s="169"/>
      <c r="O138" s="169"/>
      <c r="P138" s="163"/>
      <c r="Q138" s="163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U138" s="163"/>
      <c r="AV138" s="163"/>
      <c r="AW138" s="163"/>
      <c r="AX138" s="167" t="s">
        <v>162</v>
      </c>
      <c r="AY138" s="163" t="s">
        <v>168</v>
      </c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214"/>
      <c r="BJ138" s="240"/>
      <c r="BK138" s="302" t="s">
        <v>31</v>
      </c>
      <c r="BL138" s="353" t="s">
        <v>32</v>
      </c>
      <c r="BM138" s="302" t="s">
        <v>26</v>
      </c>
      <c r="BN138" s="302" t="s">
        <v>27</v>
      </c>
      <c r="BO138" s="302" t="s">
        <v>28</v>
      </c>
      <c r="BP138" s="163"/>
      <c r="BQ138" s="341"/>
      <c r="BR138" s="341"/>
      <c r="BS138" s="341"/>
      <c r="BT138" s="341"/>
      <c r="BU138" s="341"/>
      <c r="BV138" s="341"/>
      <c r="BW138" s="341"/>
      <c r="BX138" s="341"/>
      <c r="BY138" s="341"/>
      <c r="BZ138" s="276"/>
      <c r="CA138" s="276"/>
      <c r="CB138" s="244"/>
      <c r="CC138" s="287"/>
      <c r="CD138" s="21"/>
      <c r="CE138" s="21"/>
    </row>
    <row r="139" spans="2:92" ht="15" customHeight="1" x14ac:dyDescent="0.25">
      <c r="B139" s="163"/>
      <c r="C139" s="163"/>
      <c r="D139" s="167"/>
      <c r="E139" s="163"/>
      <c r="F139" s="168"/>
      <c r="G139" s="168"/>
      <c r="H139" s="168"/>
      <c r="I139" s="168"/>
      <c r="J139" s="163"/>
      <c r="K139" s="163"/>
      <c r="L139" s="163"/>
      <c r="M139" s="171"/>
      <c r="N139" s="163"/>
      <c r="O139" s="163"/>
      <c r="P139" s="163"/>
      <c r="Q139" s="163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U139" s="163"/>
      <c r="AV139" s="163"/>
      <c r="AW139" s="163"/>
      <c r="AX139" s="286" t="s">
        <v>163</v>
      </c>
      <c r="AY139" s="163">
        <f>IF(H15="Imperial",                   (P55*P57*P59)/27,             P55*P57*P59)</f>
        <v>0</v>
      </c>
      <c r="AZ139" s="163">
        <f>IF(H15="Imperial",                IF(X55&lt;=2,               ((U55*X55)*AY93)/27,                   (((2*U55)*AY93)+(((X55-2)*U55)*BD93))/27),             IF(X55&lt;=2,               ((U55*X55)*AY93),                   ((2*U55)*AY93)+(((X55-2)*U55)*BD93)))</f>
        <v>0</v>
      </c>
      <c r="BA139" s="163">
        <f>AY139-AZ139</f>
        <v>0</v>
      </c>
      <c r="BB139" s="163"/>
      <c r="BC139" s="163"/>
      <c r="BD139" s="163"/>
      <c r="BE139" s="163"/>
      <c r="BF139" s="163"/>
      <c r="BG139" s="163"/>
      <c r="BH139" s="163"/>
      <c r="BI139" s="249"/>
      <c r="BJ139" s="240"/>
      <c r="BK139" s="302"/>
      <c r="BL139" s="353"/>
      <c r="BM139" s="302"/>
      <c r="BN139" s="302"/>
      <c r="BO139" s="302"/>
      <c r="BP139" s="163"/>
      <c r="BQ139" s="342" t="str">
        <f>IF(BU2=1,    "",      "number of endCs per fullR*endRendCvolumes")</f>
        <v>number of endCs per fullR*endRendCvolumes</v>
      </c>
      <c r="BR139" s="342" t="str">
        <f>IF(BU2=1,       "",      "Max number of midC per fullR*endRmidC Volume")</f>
        <v>Max number of midC per fullR*endRmidC Volume</v>
      </c>
      <c r="BS139" s="342"/>
      <c r="BT139" s="342" t="str">
        <f>IF(BU2=1,     "",      "Number of End Rows")</f>
        <v>Number of End Rows</v>
      </c>
      <c r="BU139" s="342" t="str">
        <f>IF(BU2=1,        "",     "min number of rows suggested")</f>
        <v>min number of rows suggested</v>
      </c>
      <c r="BV139" s="342"/>
      <c r="BW139" s="341" t="s">
        <v>122</v>
      </c>
      <c r="BX139" s="341"/>
      <c r="BY139" s="341"/>
      <c r="BZ139" s="276"/>
      <c r="CA139" s="276"/>
      <c r="CB139" s="244"/>
      <c r="CC139" s="287"/>
      <c r="CD139" s="21"/>
      <c r="CE139" s="21"/>
    </row>
    <row r="140" spans="2:92" ht="15" customHeight="1" x14ac:dyDescent="0.25">
      <c r="B140" s="163"/>
      <c r="C140" s="163"/>
      <c r="D140" s="167" t="s">
        <v>81</v>
      </c>
      <c r="E140" s="163"/>
      <c r="F140" s="168">
        <v>12</v>
      </c>
      <c r="G140" s="172"/>
      <c r="H140" s="168">
        <v>12</v>
      </c>
      <c r="I140" s="168">
        <v>12</v>
      </c>
      <c r="J140" s="163"/>
      <c r="K140" s="163"/>
      <c r="L140" s="163"/>
      <c r="M140" s="171"/>
      <c r="N140" s="169"/>
      <c r="O140" s="169"/>
      <c r="P140" s="163"/>
      <c r="Q140" s="163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U140" s="163"/>
      <c r="AV140" s="163"/>
      <c r="AW140" s="163"/>
      <c r="AX140" s="286" t="s">
        <v>167</v>
      </c>
      <c r="AY140" s="163">
        <f>AY136+AY139</f>
        <v>581.40619341563786</v>
      </c>
      <c r="AZ140" s="163">
        <f t="shared" ref="AZ140" si="2">AZ136+AZ139</f>
        <v>232.94814814814816</v>
      </c>
      <c r="BA140" s="163">
        <f>BA136+BA139</f>
        <v>348.45804526748969</v>
      </c>
      <c r="BB140" s="163"/>
      <c r="BC140" s="163"/>
      <c r="BD140" s="163"/>
      <c r="BE140" s="163"/>
      <c r="BF140" s="163"/>
      <c r="BG140" s="163"/>
      <c r="BH140" s="163"/>
      <c r="BI140" s="249"/>
      <c r="BJ140" s="240"/>
      <c r="BK140" s="302"/>
      <c r="BL140" s="353"/>
      <c r="BM140" s="302"/>
      <c r="BN140" s="302"/>
      <c r="BO140" s="302"/>
      <c r="BP140" s="163"/>
      <c r="BQ140" s="342"/>
      <c r="BR140" s="342"/>
      <c r="BS140" s="342"/>
      <c r="BT140" s="342"/>
      <c r="BU140" s="342"/>
      <c r="BV140" s="342"/>
      <c r="BW140" s="341"/>
      <c r="BX140" s="341"/>
      <c r="BY140" s="341"/>
      <c r="BZ140" s="276"/>
      <c r="CA140" s="276"/>
      <c r="CB140" s="244"/>
      <c r="CC140" s="287"/>
      <c r="CD140" s="21"/>
      <c r="CE140" s="21"/>
    </row>
    <row r="141" spans="2:92" ht="15" customHeight="1" x14ac:dyDescent="0.25">
      <c r="B141" s="164"/>
      <c r="C141" s="163"/>
      <c r="D141" s="173"/>
      <c r="E141" s="171"/>
      <c r="F141" s="172"/>
      <c r="G141" s="172"/>
      <c r="H141" s="172"/>
      <c r="I141" s="172"/>
      <c r="J141" s="163"/>
      <c r="K141" s="163"/>
      <c r="L141" s="163"/>
      <c r="M141" s="171"/>
      <c r="N141" s="163"/>
      <c r="O141" s="163"/>
      <c r="P141" s="163"/>
      <c r="Q141" s="163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U141" s="163"/>
      <c r="AV141" s="163"/>
      <c r="AW141" s="163"/>
      <c r="AX141" s="163"/>
      <c r="AY141" s="163"/>
      <c r="AZ141" s="163"/>
      <c r="BA141" s="163"/>
      <c r="BB141" s="163"/>
      <c r="BC141" s="163"/>
      <c r="BD141" s="163"/>
      <c r="BE141" s="163"/>
      <c r="BF141" s="163"/>
      <c r="BG141" s="163"/>
      <c r="BH141" s="163"/>
      <c r="BI141" s="249"/>
      <c r="BJ141" s="240"/>
      <c r="BK141" s="302"/>
      <c r="BL141" s="246">
        <f>IF(H37&lt;3,     0,            IF(BT148=0,     0,             IF(BS157=1,                  BT148,          2*BT148)))</f>
        <v>0</v>
      </c>
      <c r="BM141" s="265">
        <f>IF(BL141=0,       0,             IF(BO150=1,          BL141*(AZ31+AZ33),            BL141*BA93))</f>
        <v>0</v>
      </c>
      <c r="BN141" s="248">
        <f>IF(BL141=0,     0,          IF(BO150=1,           BL141*AZ7,          BL141*AY93))</f>
        <v>0</v>
      </c>
      <c r="BO141" s="242">
        <f>BM141+BN141</f>
        <v>0</v>
      </c>
      <c r="BP141" s="163"/>
      <c r="BQ141" s="342"/>
      <c r="BR141" s="342"/>
      <c r="BS141" s="342"/>
      <c r="BT141" s="342"/>
      <c r="BU141" s="342"/>
      <c r="BV141" s="342"/>
      <c r="BW141" s="341"/>
      <c r="BX141" s="341"/>
      <c r="BY141" s="341"/>
      <c r="BZ141" s="276"/>
      <c r="CA141" s="276"/>
      <c r="CB141" s="244"/>
      <c r="CC141" s="287"/>
      <c r="CD141" s="21"/>
      <c r="CE141" s="21"/>
    </row>
    <row r="142" spans="2:92" ht="15" customHeight="1" x14ac:dyDescent="0.25">
      <c r="B142" s="163"/>
      <c r="C142" s="163"/>
      <c r="D142" s="167" t="s">
        <v>83</v>
      </c>
      <c r="E142" s="163"/>
      <c r="F142" s="172">
        <f t="shared" ref="F142:G142" si="3">F134+F137+F133</f>
        <v>42</v>
      </c>
      <c r="G142" s="172">
        <f t="shared" si="3"/>
        <v>0</v>
      </c>
      <c r="H142" s="172">
        <f>H134+H137+H133</f>
        <v>58</v>
      </c>
      <c r="I142" s="172">
        <f>I134+I137+I133</f>
        <v>75</v>
      </c>
      <c r="J142" s="163"/>
      <c r="K142" s="163"/>
      <c r="L142" s="163"/>
      <c r="M142" s="171"/>
      <c r="N142" s="169"/>
      <c r="O142" s="169"/>
      <c r="P142" s="163"/>
      <c r="Q142" s="163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U142" s="163"/>
      <c r="AV142" s="163"/>
      <c r="AW142" s="163"/>
      <c r="AX142" s="163"/>
      <c r="AY142" s="163"/>
      <c r="AZ142" s="163"/>
      <c r="BA142" s="163"/>
      <c r="BB142" s="163"/>
      <c r="BC142" s="163"/>
      <c r="BD142" s="163"/>
      <c r="BE142" s="163"/>
      <c r="BF142" s="163"/>
      <c r="BG142" s="163"/>
      <c r="BH142" s="277"/>
      <c r="BI142" s="249"/>
      <c r="BJ142" s="240"/>
      <c r="BK142" s="302" t="s">
        <v>56</v>
      </c>
      <c r="BL142" s="353" t="s">
        <v>32</v>
      </c>
      <c r="BM142" s="302" t="s">
        <v>26</v>
      </c>
      <c r="BN142" s="302" t="s">
        <v>27</v>
      </c>
      <c r="BO142" s="302" t="s">
        <v>28</v>
      </c>
      <c r="BP142" s="163"/>
      <c r="BQ142" s="305">
        <f>IF(BU2=1,         0,             IF(H15="Imperial",                     IF(BX135=1,            (AZ7+AZ31)+(((H55*AZ89*(AZ91))/1728)*(H33/100)),               2*BB93),                                                                                                                                                                                                                                          IF(BX135=1,                                         (AZ7+AZ31)+(((H55*AZ89*(AZ91))/1000000000)*(H33/100)),            2*BB93)))</f>
        <v>49.440000000000005</v>
      </c>
      <c r="BR142" s="305">
        <f>IF(BU2=1,     0,      IF(BV135=0,       0,      BV135*BG93))</f>
        <v>0</v>
      </c>
      <c r="BS142" s="305"/>
      <c r="BT142" s="305">
        <f>IF(BU2=1,          0,        IF(BX135=1,                  IF(BQ135&lt;=AZ35,     1,              2),                    IF(BX135=2,                  IF(BQ135&lt;=BG35,         1,              2),                                                                                                                                 IF(H15="Imperial",          IF(BQ135&lt;=((2*(BB93+(((AZ89*(H55-4.5)*(AZ91+H55))/1728)*(H33/100))+(BV135*(BG93+(((BE89*(H55-4.5)*BE92)/1728)*(H33/100))))))),          1,             2),                                                                                                                               IF(BQ135&lt;=((2*(BB93+(((AZ89*(H55-115)*(AZ91+H55))/1000000000)*(H33/100))+(BV135*(BG93+(((BE89*(H55-115)*BE92)/1000000000)*(H33/100))))))),             1,             2)))))</f>
        <v>1</v>
      </c>
      <c r="BU142" s="305">
        <f>IF(BU2=1,                0,            IF(BQ135&lt;=(2*(BQ142+BR142)),                   BT142,               IF(BX135=1,              (ROUNDUP((BQ135-(2*(BQ142+BR142)))/(BH41),0))+2,                                                                                       IF(BX135=2,                    (ROUNDUP((BQ135-(2*(BQ142+BR142)))/(2*BC93),0)+2),            (ROUNDUP((BQ135-(2*(BQ142+BR142)))/((BV135*BH93)+(2*BC93)),0)+2)))))</f>
        <v>1</v>
      </c>
      <c r="BV142" s="305"/>
      <c r="BW142" s="341"/>
      <c r="BX142" s="341"/>
      <c r="BY142" s="341"/>
      <c r="BZ142" s="276"/>
      <c r="CA142" s="276"/>
      <c r="CB142" s="244"/>
      <c r="CC142" s="287"/>
      <c r="CD142" s="21"/>
      <c r="CE142" s="21"/>
    </row>
    <row r="143" spans="2:92" ht="14.25" customHeight="1" x14ac:dyDescent="0.25">
      <c r="B143" s="163"/>
      <c r="C143" s="163"/>
      <c r="D143" s="167" t="s">
        <v>84</v>
      </c>
      <c r="E143" s="163"/>
      <c r="F143" s="172">
        <f t="shared" ref="F143:G143" si="4">F133+F135+F138</f>
        <v>306</v>
      </c>
      <c r="G143" s="172">
        <f t="shared" si="4"/>
        <v>0</v>
      </c>
      <c r="H143" s="172">
        <f>H133+H135+H138</f>
        <v>322</v>
      </c>
      <c r="I143" s="172">
        <f>I133+I135+I138</f>
        <v>236</v>
      </c>
      <c r="J143" s="163"/>
      <c r="K143" s="163"/>
      <c r="L143" s="163"/>
      <c r="M143" s="171"/>
      <c r="N143" s="163"/>
      <c r="O143" s="163"/>
      <c r="P143" s="163"/>
      <c r="Q143" s="163"/>
      <c r="R143" s="15"/>
      <c r="S143" s="23"/>
      <c r="T143" s="15"/>
      <c r="U143" s="15"/>
      <c r="V143" s="15"/>
      <c r="W143" s="15"/>
      <c r="X143" s="15"/>
      <c r="Y143" s="15"/>
      <c r="Z143" s="15"/>
      <c r="AA143" s="15"/>
      <c r="AB143" s="15"/>
      <c r="AU143" s="163"/>
      <c r="AV143" s="163"/>
      <c r="AW143" s="163"/>
      <c r="AX143" s="163"/>
      <c r="AY143" s="163"/>
      <c r="AZ143" s="163"/>
      <c r="BA143" s="163"/>
      <c r="BB143" s="163"/>
      <c r="BC143" s="163"/>
      <c r="BD143" s="163"/>
      <c r="BE143" s="163"/>
      <c r="BF143" s="163"/>
      <c r="BG143" s="163"/>
      <c r="BH143" s="277"/>
      <c r="BI143" s="249"/>
      <c r="BJ143" s="240"/>
      <c r="BK143" s="302"/>
      <c r="BL143" s="353"/>
      <c r="BM143" s="302"/>
      <c r="BN143" s="302"/>
      <c r="BO143" s="302"/>
      <c r="BP143" s="163"/>
      <c r="BQ143" s="305"/>
      <c r="BR143" s="305"/>
      <c r="BS143" s="305"/>
      <c r="BT143" s="305"/>
      <c r="BU143" s="305"/>
      <c r="BV143" s="305"/>
      <c r="BW143" s="341"/>
      <c r="BX143" s="341"/>
      <c r="BY143" s="341"/>
      <c r="BZ143" s="276"/>
      <c r="CA143" s="276"/>
      <c r="CB143" s="244"/>
      <c r="CC143" s="287"/>
      <c r="CD143" s="21"/>
      <c r="CE143" s="21"/>
    </row>
    <row r="144" spans="2:92" ht="15" customHeight="1" x14ac:dyDescent="0.25">
      <c r="B144" s="163"/>
      <c r="C144" s="163"/>
      <c r="D144" s="167" t="s">
        <v>85</v>
      </c>
      <c r="E144" s="163"/>
      <c r="F144" s="172">
        <f t="shared" ref="F144:G144" si="5">(F133*2)+F134+F137+(F140)</f>
        <v>72</v>
      </c>
      <c r="G144" s="172">
        <f t="shared" si="5"/>
        <v>0</v>
      </c>
      <c r="H144" s="172">
        <f>(H133*2)+H134+H137+(H140)</f>
        <v>104</v>
      </c>
      <c r="I144" s="172">
        <f>(I133*2)+I134+I137+(I140)</f>
        <v>131</v>
      </c>
      <c r="J144" s="163"/>
      <c r="K144" s="163"/>
      <c r="L144" s="163"/>
      <c r="M144" s="171"/>
      <c r="N144" s="163"/>
      <c r="O144" s="163"/>
      <c r="P144" s="163"/>
      <c r="Q144" s="163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U144" s="163"/>
      <c r="AV144" s="163"/>
      <c r="AW144" s="163"/>
      <c r="AX144" s="163"/>
      <c r="AY144" s="163"/>
      <c r="AZ144" s="163"/>
      <c r="BA144" s="163"/>
      <c r="BB144" s="163"/>
      <c r="BC144" s="163"/>
      <c r="BD144" s="163"/>
      <c r="BE144" s="163"/>
      <c r="BF144" s="163"/>
      <c r="BG144" s="163"/>
      <c r="BH144" s="163"/>
      <c r="BI144" s="249"/>
      <c r="BJ144" s="240"/>
      <c r="BK144" s="302"/>
      <c r="BL144" s="353"/>
      <c r="BM144" s="302"/>
      <c r="BN144" s="302"/>
      <c r="BO144" s="302"/>
      <c r="BP144" s="163"/>
      <c r="BQ144" s="305" t="s">
        <v>231</v>
      </c>
      <c r="BR144" s="305"/>
      <c r="BS144" s="305"/>
      <c r="BT144" s="305"/>
      <c r="BU144" s="305"/>
      <c r="BV144" s="305"/>
      <c r="BW144" s="305"/>
      <c r="BX144" s="305"/>
      <c r="BY144" s="305"/>
      <c r="BZ144" s="276"/>
      <c r="CA144" s="276"/>
      <c r="CB144" s="244"/>
      <c r="CC144" s="287"/>
      <c r="CD144" s="21"/>
      <c r="CE144" s="21"/>
      <c r="CF144" s="22"/>
      <c r="CG144" s="22"/>
      <c r="CH144" s="22"/>
      <c r="CI144" s="22"/>
      <c r="CJ144" s="22"/>
      <c r="CK144" s="22"/>
      <c r="CL144" s="22"/>
      <c r="CM144" s="22"/>
      <c r="CN144" s="22"/>
    </row>
    <row r="145" spans="2:94" ht="15" customHeight="1" x14ac:dyDescent="0.25">
      <c r="B145" s="163"/>
      <c r="C145" s="174"/>
      <c r="D145" s="167" t="s">
        <v>84</v>
      </c>
      <c r="E145" s="163"/>
      <c r="F145" s="172">
        <f t="shared" ref="F145:G145" si="6">(F133*2)+F135+F138+(F140)</f>
        <v>336</v>
      </c>
      <c r="G145" s="172">
        <f t="shared" si="6"/>
        <v>0</v>
      </c>
      <c r="H145" s="172">
        <f>(H133*2)+H135+H138+(H140)</f>
        <v>368</v>
      </c>
      <c r="I145" s="172">
        <f>(I133*2)+I135+I138+(I140)</f>
        <v>292</v>
      </c>
      <c r="J145" s="174"/>
      <c r="K145" s="174"/>
      <c r="L145" s="174"/>
      <c r="M145" s="171"/>
      <c r="N145" s="163"/>
      <c r="O145" s="163"/>
      <c r="P145" s="163"/>
      <c r="Q145" s="163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U145" s="163"/>
      <c r="AV145" s="163"/>
      <c r="AW145" s="163"/>
      <c r="AX145" s="163"/>
      <c r="AY145" s="163"/>
      <c r="AZ145" s="163"/>
      <c r="BA145" s="163"/>
      <c r="BB145" s="163"/>
      <c r="BC145" s="163"/>
      <c r="BD145" s="163"/>
      <c r="BE145" s="163"/>
      <c r="BF145" s="163"/>
      <c r="BG145" s="163"/>
      <c r="BH145" s="163"/>
      <c r="BI145" s="214"/>
      <c r="BJ145" s="240"/>
      <c r="BK145" s="302"/>
      <c r="BL145" s="247">
        <f>IF(H37&lt;3,       0,         IF(BT148=0,         0,          IF(BT153=0,          0,          BT148*BT153)))</f>
        <v>0</v>
      </c>
      <c r="BM145" s="248">
        <f>BL145*BF93</f>
        <v>0</v>
      </c>
      <c r="BN145" s="248">
        <f>BL145*BD93</f>
        <v>0</v>
      </c>
      <c r="BO145" s="242">
        <f>BM145+BN145</f>
        <v>0</v>
      </c>
      <c r="BP145" s="163"/>
      <c r="BQ145" s="343" t="s">
        <v>108</v>
      </c>
      <c r="BR145" s="343" t="s">
        <v>181</v>
      </c>
      <c r="BS145" s="343" t="s">
        <v>109</v>
      </c>
      <c r="BT145" s="344" t="s">
        <v>110</v>
      </c>
      <c r="BU145" s="344" t="s">
        <v>111</v>
      </c>
      <c r="BV145" s="344"/>
      <c r="BW145" s="344" t="s">
        <v>112</v>
      </c>
      <c r="BX145" s="305"/>
      <c r="BY145" s="343" t="s">
        <v>104</v>
      </c>
      <c r="BZ145" s="343"/>
      <c r="CA145" s="343"/>
      <c r="CB145" s="244"/>
      <c r="CC145" s="287"/>
      <c r="CD145" s="21"/>
      <c r="CE145" s="21"/>
      <c r="CF145" s="22"/>
      <c r="CG145" s="22"/>
      <c r="CH145" s="22"/>
      <c r="CI145" s="22"/>
      <c r="CJ145" s="22"/>
      <c r="CK145" s="22"/>
      <c r="CL145" s="22"/>
      <c r="CM145" s="22"/>
      <c r="CN145" s="22"/>
    </row>
    <row r="146" spans="2:94" ht="15" customHeight="1" x14ac:dyDescent="0.25">
      <c r="B146" s="163"/>
      <c r="C146" s="174"/>
      <c r="D146" s="167" t="s">
        <v>86</v>
      </c>
      <c r="E146" s="163"/>
      <c r="F146" s="172">
        <f t="shared" ref="F146:G146" si="7">(F133*3)+F134+F137+(F140*2)</f>
        <v>102</v>
      </c>
      <c r="G146" s="172">
        <f t="shared" si="7"/>
        <v>0</v>
      </c>
      <c r="H146" s="172">
        <f>(H133*3)+H134+H137+(H140*2)</f>
        <v>150</v>
      </c>
      <c r="I146" s="172">
        <f>(I133*3)+I134+I137+(I140*2)</f>
        <v>187</v>
      </c>
      <c r="J146" s="174"/>
      <c r="K146" s="174"/>
      <c r="L146" s="174"/>
      <c r="M146" s="171"/>
      <c r="N146" s="163"/>
      <c r="O146" s="163"/>
      <c r="P146" s="163"/>
      <c r="Q146" s="163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U146" s="163"/>
      <c r="AV146" s="163"/>
      <c r="AW146" s="163"/>
      <c r="AX146" s="163"/>
      <c r="AY146" s="163"/>
      <c r="AZ146" s="163"/>
      <c r="BA146" s="163"/>
      <c r="BB146" s="163"/>
      <c r="BC146" s="163"/>
      <c r="BD146" s="163"/>
      <c r="BE146" s="163"/>
      <c r="BF146" s="163"/>
      <c r="BG146" s="163"/>
      <c r="BH146" s="163"/>
      <c r="BI146" s="214"/>
      <c r="BJ146" s="240"/>
      <c r="BK146" s="264" t="s">
        <v>193</v>
      </c>
      <c r="BL146" s="290">
        <f>BL133+BL137+BL141+BL145</f>
        <v>0</v>
      </c>
      <c r="BM146" s="290">
        <f t="shared" ref="BM146:BO146" si="8">BM133+BM137+BM141+BM145</f>
        <v>0</v>
      </c>
      <c r="BN146" s="290">
        <f t="shared" si="8"/>
        <v>0</v>
      </c>
      <c r="BO146" s="290">
        <f t="shared" si="8"/>
        <v>0</v>
      </c>
      <c r="BP146" s="163"/>
      <c r="BQ146" s="343"/>
      <c r="BR146" s="343"/>
      <c r="BS146" s="343"/>
      <c r="BT146" s="344"/>
      <c r="BU146" s="344"/>
      <c r="BV146" s="344"/>
      <c r="BW146" s="344"/>
      <c r="BX146" s="305"/>
      <c r="BY146" s="343"/>
      <c r="BZ146" s="343"/>
      <c r="CA146" s="343"/>
      <c r="CB146" s="244"/>
      <c r="CC146" s="287"/>
      <c r="CD146" s="21"/>
      <c r="CE146" s="21"/>
      <c r="CF146" s="22"/>
      <c r="CG146" s="22"/>
      <c r="CH146" s="22"/>
      <c r="CI146" s="22"/>
      <c r="CJ146" s="22"/>
      <c r="CK146" s="22"/>
      <c r="CL146" s="22"/>
      <c r="CM146" s="22"/>
      <c r="CN146" s="22"/>
    </row>
    <row r="147" spans="2:94" ht="25.5" customHeight="1" x14ac:dyDescent="0.25">
      <c r="B147" s="163"/>
      <c r="C147" s="174"/>
      <c r="D147" s="167" t="s">
        <v>84</v>
      </c>
      <c r="E147" s="163"/>
      <c r="F147" s="172">
        <f t="shared" ref="F147:G147" si="9">(F133*3)+F135+F138+(F140*2)</f>
        <v>366</v>
      </c>
      <c r="G147" s="172">
        <f t="shared" si="9"/>
        <v>0</v>
      </c>
      <c r="H147" s="172">
        <f>(H133*3)+H135+H138+(H140*2)</f>
        <v>414</v>
      </c>
      <c r="I147" s="172">
        <f>(I133*3)+I135+I138+(I140*2)</f>
        <v>348</v>
      </c>
      <c r="J147" s="174"/>
      <c r="K147" s="174"/>
      <c r="L147" s="174"/>
      <c r="M147" s="171"/>
      <c r="N147" s="163"/>
      <c r="O147" s="163"/>
      <c r="P147" s="163"/>
      <c r="Q147" s="163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U147" s="163"/>
      <c r="AV147" s="163"/>
      <c r="AW147" s="163"/>
      <c r="AX147" s="163"/>
      <c r="AY147" s="163"/>
      <c r="AZ147" s="163"/>
      <c r="BA147" s="163"/>
      <c r="BB147" s="163"/>
      <c r="BC147" s="163"/>
      <c r="BD147" s="163"/>
      <c r="BE147" s="163"/>
      <c r="BF147" s="163"/>
      <c r="BG147" s="163"/>
      <c r="BH147" s="163"/>
      <c r="BI147" s="214"/>
      <c r="BJ147" s="240"/>
      <c r="BK147" s="252"/>
      <c r="BL147" s="247"/>
      <c r="BM147" s="248"/>
      <c r="BN147" s="248"/>
      <c r="BO147" s="242"/>
      <c r="BP147" s="163"/>
      <c r="BQ147" s="343"/>
      <c r="BR147" s="343"/>
      <c r="BS147" s="343"/>
      <c r="BT147" s="344"/>
      <c r="BU147" s="344"/>
      <c r="BV147" s="344"/>
      <c r="BW147" s="344"/>
      <c r="BX147" s="305"/>
      <c r="BY147" s="343" t="str">
        <f>IF(BU2=1,      "Maximum Number of Rows",                 "Minimum Number of Rows")</f>
        <v>Minimum Number of Rows</v>
      </c>
      <c r="BZ147" s="343"/>
      <c r="CA147" s="344" t="str">
        <f>IF(BU2=1,             "N/A",                "Maximum Number of Chambers per Full Row")</f>
        <v>Maximum Number of Chambers per Full Row</v>
      </c>
      <c r="CB147" s="215"/>
      <c r="CC147" s="215"/>
      <c r="CD147" s="4"/>
      <c r="CE147" s="4"/>
      <c r="CF147" s="4"/>
      <c r="CG147" s="4"/>
      <c r="CH147" s="4"/>
      <c r="CI147" s="4"/>
      <c r="CJ147" s="4"/>
      <c r="CK147" s="4"/>
      <c r="CL147" s="4"/>
      <c r="CM147" s="21"/>
      <c r="CN147" s="21"/>
      <c r="CO147" s="21"/>
      <c r="CP147" s="21"/>
    </row>
    <row r="148" spans="2:94" ht="15.75" customHeight="1" x14ac:dyDescent="0.25">
      <c r="B148" s="163"/>
      <c r="C148" s="163"/>
      <c r="D148" s="173"/>
      <c r="E148" s="171"/>
      <c r="F148" s="172"/>
      <c r="G148" s="172"/>
      <c r="H148" s="172"/>
      <c r="I148" s="172"/>
      <c r="J148" s="163"/>
      <c r="K148" s="163"/>
      <c r="L148" s="163"/>
      <c r="M148" s="171"/>
      <c r="N148" s="163"/>
      <c r="O148" s="163"/>
      <c r="P148" s="163"/>
      <c r="Q148" s="163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23"/>
      <c r="AU148" s="163"/>
      <c r="AV148" s="163"/>
      <c r="AW148" s="163"/>
      <c r="AX148" s="163"/>
      <c r="AY148" s="163"/>
      <c r="AZ148" s="163"/>
      <c r="BA148" s="163"/>
      <c r="BB148" s="163"/>
      <c r="BC148" s="163"/>
      <c r="BD148" s="163"/>
      <c r="BE148" s="163"/>
      <c r="BF148" s="163"/>
      <c r="BG148" s="163"/>
      <c r="BH148" s="163"/>
      <c r="BI148" s="214"/>
      <c r="BJ148" s="240"/>
      <c r="BK148" s="349" t="str">
        <f>IF($H$23=1,"Max suggested number of rows","Min suggested number of rows")</f>
        <v>Min suggested number of rows</v>
      </c>
      <c r="BL148" s="349"/>
      <c r="BM148" s="349"/>
      <c r="BN148" s="349"/>
      <c r="BO148" s="248">
        <f>IF(H37&lt;3,    0,       IF(BU2=1,        BX135,           BU142))</f>
        <v>0</v>
      </c>
      <c r="BP148" s="163"/>
      <c r="BQ148" s="305">
        <f>BQ135</f>
        <v>0</v>
      </c>
      <c r="BR148" s="305">
        <f>BO149</f>
        <v>0</v>
      </c>
      <c r="BS148" s="305">
        <f>IF(BR148=1,       1,        2)</f>
        <v>2</v>
      </c>
      <c r="BT148" s="341">
        <f>IF(BR148&lt;3,      0,        BR148-2)</f>
        <v>0</v>
      </c>
      <c r="BU148" s="341">
        <f>IF(BR148=1,       IF(BQ148&lt;=AZ35,       AZ35,      BG35/2),                     IF(BR148=2,       IF(BQ148&lt;=BD35,        BD35,   2*BB93),                  IF(BQ148&lt;=(BD35+(BT148*BH41)),                          BD35,         2*BB93)))</f>
        <v>98.88000000000001</v>
      </c>
      <c r="BV148" s="341"/>
      <c r="BW148" s="341">
        <f>IF(BT148=0,           0,        IF((BQ148-BU148)&lt;=(BT148*BH41),             BT148*BH41,   BT148*BC93))</f>
        <v>0</v>
      </c>
      <c r="BX148" s="305"/>
      <c r="BY148" s="343"/>
      <c r="BZ148" s="343"/>
      <c r="CA148" s="344"/>
      <c r="CB148" s="215"/>
      <c r="CC148" s="215"/>
      <c r="CD148" s="4"/>
      <c r="CE148" s="4"/>
      <c r="CF148" s="4"/>
      <c r="CG148" s="4"/>
      <c r="CH148" s="4"/>
      <c r="CI148" s="4"/>
      <c r="CJ148" s="4"/>
      <c r="CK148" s="4"/>
      <c r="CL148" s="4"/>
      <c r="CM148" s="21"/>
      <c r="CN148" s="21"/>
      <c r="CO148" s="21"/>
      <c r="CP148" s="21"/>
    </row>
    <row r="149" spans="2:94" ht="15" customHeight="1" x14ac:dyDescent="0.25">
      <c r="B149" s="163"/>
      <c r="C149" s="163"/>
      <c r="D149" s="167"/>
      <c r="E149" s="163"/>
      <c r="F149" s="168">
        <v>457</v>
      </c>
      <c r="G149" s="168"/>
      <c r="H149" s="168">
        <v>864</v>
      </c>
      <c r="I149" s="168">
        <v>1117</v>
      </c>
      <c r="J149" s="163"/>
      <c r="K149" s="163"/>
      <c r="L149" s="163"/>
      <c r="M149" s="171"/>
      <c r="N149" s="163"/>
      <c r="O149" s="163"/>
      <c r="P149" s="163"/>
      <c r="Q149" s="163"/>
      <c r="R149" s="15"/>
      <c r="AB149" s="15"/>
      <c r="AU149" s="163"/>
      <c r="AV149" s="163"/>
      <c r="AW149" s="163"/>
      <c r="AX149" s="163"/>
      <c r="AY149" s="163"/>
      <c r="AZ149" s="163"/>
      <c r="BA149" s="163"/>
      <c r="BB149" s="163"/>
      <c r="BC149" s="163"/>
      <c r="BD149" s="163"/>
      <c r="BE149" s="163"/>
      <c r="BF149" s="163"/>
      <c r="BG149" s="163"/>
      <c r="BH149" s="163"/>
      <c r="BI149" s="235"/>
      <c r="BJ149" s="240"/>
      <c r="BK149" s="281" t="str">
        <f>IF(H37=3,"Chosen number of rows","Default number of rows")</f>
        <v>Default number of rows</v>
      </c>
      <c r="BL149" s="281"/>
      <c r="BM149" s="281"/>
      <c r="BN149" s="281"/>
      <c r="BO149" s="248">
        <f>IF(H37&lt;3,        0,          IF(H37=3,     H41,         BY149))</f>
        <v>0</v>
      </c>
      <c r="BP149" s="163"/>
      <c r="BQ149" s="305"/>
      <c r="BR149" s="305"/>
      <c r="BS149" s="305"/>
      <c r="BT149" s="341"/>
      <c r="BU149" s="341"/>
      <c r="BV149" s="341"/>
      <c r="BW149" s="341"/>
      <c r="BX149" s="305"/>
      <c r="BY149" s="305">
        <f>IF(BU2=1,            BX135,        BU142)</f>
        <v>1</v>
      </c>
      <c r="BZ149" s="305"/>
      <c r="CA149" s="309">
        <f>IF(BU2=1,         0,                             BX135)</f>
        <v>1</v>
      </c>
      <c r="CB149" s="220"/>
      <c r="CC149" s="220"/>
      <c r="CD149" s="5"/>
      <c r="CE149" s="5"/>
      <c r="CF149" s="5"/>
      <c r="CG149" s="5"/>
      <c r="CH149" s="5"/>
      <c r="CI149" s="5"/>
      <c r="CJ149" s="5"/>
      <c r="CK149" s="5"/>
      <c r="CL149" s="5"/>
      <c r="CM149" s="193"/>
      <c r="CN149" s="21"/>
      <c r="CO149" s="21"/>
      <c r="CP149" s="21"/>
    </row>
    <row r="150" spans="2:94" ht="15" customHeight="1" x14ac:dyDescent="0.25">
      <c r="B150" s="170"/>
      <c r="C150" s="170"/>
      <c r="D150" s="167" t="s">
        <v>77</v>
      </c>
      <c r="E150" s="163"/>
      <c r="F150" s="168">
        <v>150</v>
      </c>
      <c r="G150" s="168"/>
      <c r="H150" s="168">
        <v>150</v>
      </c>
      <c r="I150" s="168">
        <v>225</v>
      </c>
      <c r="J150" s="170"/>
      <c r="K150" s="170"/>
      <c r="L150" s="170"/>
      <c r="M150" s="171"/>
      <c r="N150" s="163"/>
      <c r="O150" s="163"/>
      <c r="P150" s="163"/>
      <c r="Q150" s="163"/>
      <c r="R150" s="15"/>
      <c r="AB150" s="15"/>
      <c r="AU150" s="163"/>
      <c r="AV150" s="163"/>
      <c r="AW150" s="163"/>
      <c r="AX150" s="163"/>
      <c r="AY150" s="163"/>
      <c r="AZ150" s="163"/>
      <c r="BA150" s="163"/>
      <c r="BB150" s="163"/>
      <c r="BC150" s="163"/>
      <c r="BD150" s="163"/>
      <c r="BE150" s="163"/>
      <c r="BF150" s="163"/>
      <c r="BG150" s="163"/>
      <c r="BH150" s="163"/>
      <c r="BI150" s="235"/>
      <c r="BJ150" s="240"/>
      <c r="BK150" s="281" t="str">
        <f>IF($H$23=1,"Min number of chambers per full Row","Max number of chambers per Row")</f>
        <v>Max number of chambers per Row</v>
      </c>
      <c r="BL150" s="281"/>
      <c r="BM150" s="281"/>
      <c r="BN150" s="281"/>
      <c r="BO150" s="248">
        <f>IF(H37&lt;3,         0,          BV153)</f>
        <v>0</v>
      </c>
      <c r="BP150" s="163"/>
      <c r="BQ150" s="341" t="s">
        <v>123</v>
      </c>
      <c r="BR150" s="341"/>
      <c r="BS150" s="344" t="s">
        <v>113</v>
      </c>
      <c r="BT150" s="344" t="s">
        <v>114</v>
      </c>
      <c r="BU150" s="344"/>
      <c r="BV150" s="343" t="s">
        <v>115</v>
      </c>
      <c r="BW150" s="343"/>
      <c r="BX150" s="305"/>
      <c r="BY150" s="305"/>
      <c r="BZ150" s="305"/>
      <c r="CA150" s="309"/>
      <c r="CB150" s="235"/>
      <c r="CC150" s="235"/>
      <c r="CD150" s="8"/>
      <c r="CE150" s="8"/>
      <c r="CF150" s="8"/>
      <c r="CG150" s="8"/>
      <c r="CH150" s="8"/>
      <c r="CI150" s="8"/>
      <c r="CJ150" s="8"/>
      <c r="CK150" s="8"/>
      <c r="CL150" s="8"/>
      <c r="CM150" s="193"/>
      <c r="CN150" s="21"/>
      <c r="CO150" s="21"/>
      <c r="CP150" s="21"/>
    </row>
    <row r="151" spans="2:94" x14ac:dyDescent="0.25">
      <c r="B151" s="171"/>
      <c r="C151" s="171"/>
      <c r="D151" s="167" t="s">
        <v>78</v>
      </c>
      <c r="E151" s="163"/>
      <c r="F151" s="168">
        <v>2400</v>
      </c>
      <c r="G151" s="168"/>
      <c r="H151" s="168">
        <v>2400</v>
      </c>
      <c r="I151" s="168">
        <v>2400</v>
      </c>
      <c r="J151" s="171"/>
      <c r="K151" s="171"/>
      <c r="L151" s="171"/>
      <c r="M151" s="171"/>
      <c r="N151" s="163"/>
      <c r="O151" s="163"/>
      <c r="P151" s="163"/>
      <c r="Q151" s="163"/>
      <c r="R151" s="15"/>
      <c r="AU151" s="163"/>
      <c r="AV151" s="163"/>
      <c r="AW151" s="163"/>
      <c r="AX151" s="163"/>
      <c r="AY151" s="163"/>
      <c r="AZ151" s="163"/>
      <c r="BA151" s="163"/>
      <c r="BB151" s="163"/>
      <c r="BC151" s="163"/>
      <c r="BD151" s="163"/>
      <c r="BE151" s="163"/>
      <c r="BF151" s="163"/>
      <c r="BG151" s="163"/>
      <c r="BH151" s="163"/>
      <c r="BI151" s="235"/>
      <c r="BJ151" s="240"/>
      <c r="BK151" s="281" t="s">
        <v>42</v>
      </c>
      <c r="BL151" s="281"/>
      <c r="BM151" s="281"/>
      <c r="BN151" s="281"/>
      <c r="BO151" s="248">
        <f>IF(H37&lt;3,0,"all")</f>
        <v>0</v>
      </c>
      <c r="BP151" s="163"/>
      <c r="BQ151" s="341"/>
      <c r="BR151" s="341"/>
      <c r="BS151" s="344"/>
      <c r="BT151" s="344"/>
      <c r="BU151" s="344"/>
      <c r="BV151" s="343"/>
      <c r="BW151" s="343"/>
      <c r="BX151" s="305"/>
      <c r="BY151" s="343" t="s">
        <v>105</v>
      </c>
      <c r="BZ151" s="343"/>
      <c r="CA151" s="343"/>
      <c r="CB151" s="235"/>
      <c r="CC151" s="235"/>
      <c r="CD151" s="8"/>
      <c r="CE151" s="8"/>
      <c r="CF151" s="8"/>
      <c r="CG151" s="8"/>
      <c r="CH151" s="8"/>
      <c r="CI151" s="8"/>
      <c r="CJ151" s="8"/>
      <c r="CK151" s="8"/>
      <c r="CL151" s="8"/>
      <c r="CM151" s="13"/>
      <c r="CN151" s="21"/>
      <c r="CO151" s="21"/>
      <c r="CP151" s="21"/>
    </row>
    <row r="152" spans="2:94" ht="15.75" x14ac:dyDescent="0.25">
      <c r="B152" s="171"/>
      <c r="C152" s="171"/>
      <c r="D152" s="167"/>
      <c r="E152" s="163"/>
      <c r="F152" s="168"/>
      <c r="G152" s="168"/>
      <c r="H152" s="168"/>
      <c r="I152" s="168"/>
      <c r="J152" s="171"/>
      <c r="K152" s="171"/>
      <c r="L152" s="171"/>
      <c r="M152" s="171"/>
      <c r="N152" s="163"/>
      <c r="O152" s="163"/>
      <c r="P152" s="170"/>
      <c r="Q152" s="170"/>
      <c r="R152" s="26"/>
      <c r="AU152" s="163"/>
      <c r="AV152" s="163"/>
      <c r="AW152" s="163"/>
      <c r="AX152" s="163"/>
      <c r="AY152" s="163"/>
      <c r="AZ152" s="163"/>
      <c r="BA152" s="163"/>
      <c r="BB152" s="163"/>
      <c r="BC152" s="163"/>
      <c r="BD152" s="163"/>
      <c r="BE152" s="163"/>
      <c r="BF152" s="163"/>
      <c r="BG152" s="163"/>
      <c r="BH152" s="163"/>
      <c r="BI152" s="235"/>
      <c r="BJ152" s="240"/>
      <c r="BK152" s="208" t="s">
        <v>159</v>
      </c>
      <c r="BL152" s="208"/>
      <c r="BM152" s="208"/>
      <c r="BN152" s="208"/>
      <c r="BO152" s="291">
        <f>BO133+BO137+BO141+BO145</f>
        <v>0</v>
      </c>
      <c r="BP152" s="163"/>
      <c r="BQ152" s="341"/>
      <c r="BR152" s="341"/>
      <c r="BS152" s="344"/>
      <c r="BT152" s="344"/>
      <c r="BU152" s="344"/>
      <c r="BV152" s="343"/>
      <c r="BW152" s="343"/>
      <c r="BX152" s="305"/>
      <c r="BY152" s="343"/>
      <c r="BZ152" s="343"/>
      <c r="CA152" s="343"/>
      <c r="CB152" s="240"/>
      <c r="CC152" s="292"/>
      <c r="CD152" s="12"/>
      <c r="CE152" s="3"/>
      <c r="CF152" s="3"/>
      <c r="CG152" s="3"/>
      <c r="CH152" s="3"/>
      <c r="CI152" s="3"/>
      <c r="CJ152" s="3"/>
      <c r="CK152" s="3"/>
      <c r="CL152" s="3"/>
      <c r="CM152" s="21"/>
      <c r="CN152" s="15"/>
      <c r="CO152" s="21"/>
      <c r="CP152" s="21"/>
    </row>
    <row r="153" spans="2:94" ht="15" customHeight="1" x14ac:dyDescent="0.25">
      <c r="B153" s="171"/>
      <c r="C153" s="171"/>
      <c r="D153" s="167" t="s">
        <v>79</v>
      </c>
      <c r="E153" s="163"/>
      <c r="F153" s="168">
        <v>450</v>
      </c>
      <c r="G153" s="168"/>
      <c r="H153" s="168">
        <v>450</v>
      </c>
      <c r="I153" s="168">
        <v>550</v>
      </c>
      <c r="J153" s="171"/>
      <c r="K153" s="171"/>
      <c r="L153" s="171"/>
      <c r="M153" s="171"/>
      <c r="N153" s="163"/>
      <c r="O153" s="163"/>
      <c r="P153" s="171"/>
      <c r="Q153" s="171"/>
      <c r="AU153" s="163"/>
      <c r="AV153" s="163"/>
      <c r="AW153" s="163"/>
      <c r="AX153" s="163"/>
      <c r="AY153" s="163"/>
      <c r="AZ153" s="163"/>
      <c r="BA153" s="163"/>
      <c r="BB153" s="163"/>
      <c r="BC153" s="163"/>
      <c r="BD153" s="163"/>
      <c r="BE153" s="163"/>
      <c r="BF153" s="163"/>
      <c r="BG153" s="163"/>
      <c r="BH153" s="163"/>
      <c r="BI153" s="235"/>
      <c r="BJ153" s="240"/>
      <c r="BK153" s="293" t="s">
        <v>43</v>
      </c>
      <c r="BL153" s="293"/>
      <c r="BM153" s="293"/>
      <c r="BN153" s="293"/>
      <c r="BO153" s="246">
        <f>IF(H37&lt;3,      0,        IF(H15="Imperial",       IF(BO150=1,           ((AZ5+H55+H55)/12),                    IF(BO150=2,              (2*AZ92)/12,       ((((BO150-2)*BE92)+(2*AZ92))/12))),                                                                      IF(BO150=1,                                                                                           ((AZ5+H55+H55)/1000),                   IF(BO150=2,      ((2*AZ92)/1000),         ((((BO150-2)*BE92)+(2*AZ92))/1000)))))</f>
        <v>0</v>
      </c>
      <c r="BP153" s="163"/>
      <c r="BQ153" s="341"/>
      <c r="BR153" s="341"/>
      <c r="BS153" s="305">
        <f>IF(BR148=1,         IF(BQ148&lt;=AZ35,       1,        2),                 IF(BR148=2,              IF(BQ148&lt;=BD35,            1,           2),                IF(BQ148&lt;=(BD35+(BT148*BH41)),        1,      2)))</f>
        <v>1</v>
      </c>
      <c r="BT153" s="305">
        <f>IF(BX135=0,   0,    IF(AND(BR148=1,BQ148&lt;=BG35),        0,             IF(BQ148&lt;=(2*(BU148+BW148)),     0,      IF(H15="Imperial",           IF(BR148=1,          ROUNDUP((BQ148-(BG35))/(BG93+((((H55-(H45/2))*BE89*BE92)/1728)*(H33/100))),0),        IF(BR148=2,             ROUNDUP((BQ148-(2*BU148))/(2*BG93),0),            ROUNDUP((BQ148-(2*(BU148+BW148)))/((2*BG93)+(BT148*BH93)),0))),                                                                                                                                                                                                           IF(BR148=1,                        ROUNDUP((BQ148-(BG35))/(BG93+((((H55-(H45/2))*BE89*BE92)/1000000000)*(H33/100))),0),                                                                                                                                                             IF(BR148=2,                        ROUNDUP((BQ148-(2*BU148))/(2*BG93),0),          ROUNDUP((BQ148-(2*(BU148+BW148)))/((2*BG93)+(BT148*BH93)),0)))))))</f>
        <v>0</v>
      </c>
      <c r="BU153" s="305"/>
      <c r="BV153" s="305">
        <f>BS153+BT153</f>
        <v>1</v>
      </c>
      <c r="BW153" s="305"/>
      <c r="BX153" s="305"/>
      <c r="BY153" s="344" t="s">
        <v>106</v>
      </c>
      <c r="BZ153" s="344"/>
      <c r="CA153" s="308" t="s">
        <v>107</v>
      </c>
      <c r="CB153" s="240"/>
      <c r="CC153" s="292"/>
      <c r="CD153" s="12"/>
      <c r="CE153" s="3"/>
      <c r="CF153" s="3"/>
      <c r="CG153" s="3"/>
      <c r="CH153" s="3"/>
      <c r="CI153" s="3"/>
      <c r="CJ153" s="3"/>
      <c r="CK153" s="3"/>
      <c r="CL153" s="3"/>
      <c r="CM153" s="21"/>
      <c r="CN153" s="15"/>
      <c r="CO153" s="21"/>
      <c r="CP153" s="21"/>
    </row>
    <row r="154" spans="2:94" ht="15" customHeight="1" x14ac:dyDescent="0.25">
      <c r="B154" s="171"/>
      <c r="C154" s="171"/>
      <c r="D154" s="167" t="s">
        <v>80</v>
      </c>
      <c r="E154" s="163"/>
      <c r="F154" s="168">
        <v>4875</v>
      </c>
      <c r="G154" s="175"/>
      <c r="H154" s="176">
        <v>4875</v>
      </c>
      <c r="I154" s="176">
        <v>2435</v>
      </c>
      <c r="J154" s="171"/>
      <c r="K154" s="171"/>
      <c r="L154" s="171"/>
      <c r="M154" s="171"/>
      <c r="N154" s="163"/>
      <c r="O154" s="163"/>
      <c r="P154" s="171"/>
      <c r="Q154" s="171"/>
      <c r="AU154" s="163"/>
      <c r="AV154" s="163"/>
      <c r="AW154" s="163"/>
      <c r="AX154" s="163"/>
      <c r="AY154" s="163"/>
      <c r="AZ154" s="163"/>
      <c r="BA154" s="163"/>
      <c r="BB154" s="163"/>
      <c r="BC154" s="163"/>
      <c r="BD154" s="163"/>
      <c r="BE154" s="163"/>
      <c r="BF154" s="163"/>
      <c r="BG154" s="163"/>
      <c r="BH154" s="163"/>
      <c r="BI154" s="235"/>
      <c r="BJ154" s="240"/>
      <c r="BK154" s="361" t="s">
        <v>44</v>
      </c>
      <c r="BL154" s="361"/>
      <c r="BM154" s="361"/>
      <c r="BN154" s="361"/>
      <c r="BO154" s="242">
        <f>IF(H37&lt;3,           0,          IF(H15="Imperial",          IF(BO149=1,       ((AZ91+H55-(H45/2))/12),              IF(BO149=2,              (2*AZ91)/12,         ((((BO149-2)*BA91)+(2*AZ91))/12))),                                                               IF(BO149=1,                                                                                            (AZ91+H55-(H45/2))/1000,               IF(BO149=2,         ((2*AZ91)/1000),       ((((BO149-2)*BA91)+(2*AZ91))/1000)))))</f>
        <v>0</v>
      </c>
      <c r="BP154" s="163"/>
      <c r="BQ154" s="341"/>
      <c r="BR154" s="341"/>
      <c r="BS154" s="305"/>
      <c r="BT154" s="305"/>
      <c r="BU154" s="305"/>
      <c r="BV154" s="305"/>
      <c r="BW154" s="305"/>
      <c r="BX154" s="305"/>
      <c r="BY154" s="344"/>
      <c r="BZ154" s="344"/>
      <c r="CA154" s="308"/>
      <c r="CB154" s="235"/>
      <c r="CC154" s="235"/>
      <c r="CD154" s="8"/>
      <c r="CE154" s="8"/>
      <c r="CF154" s="8"/>
      <c r="CG154" s="8"/>
      <c r="CH154" s="8"/>
      <c r="CI154" s="8"/>
      <c r="CJ154" s="8"/>
      <c r="CK154" s="8"/>
      <c r="CL154" s="5"/>
      <c r="CM154" s="21"/>
      <c r="CN154" s="15"/>
      <c r="CO154" s="21"/>
      <c r="CP154" s="21"/>
    </row>
    <row r="155" spans="2:94" ht="15" customHeight="1" x14ac:dyDescent="0.25">
      <c r="B155" s="171"/>
      <c r="C155" s="171"/>
      <c r="D155" s="177"/>
      <c r="E155" s="170"/>
      <c r="F155" s="178"/>
      <c r="G155" s="178"/>
      <c r="H155" s="178"/>
      <c r="I155" s="178"/>
      <c r="J155" s="171"/>
      <c r="K155" s="171"/>
      <c r="L155" s="171"/>
      <c r="M155" s="171"/>
      <c r="N155" s="163"/>
      <c r="O155" s="163"/>
      <c r="P155" s="171"/>
      <c r="Q155" s="171"/>
      <c r="AU155" s="163"/>
      <c r="AV155" s="163"/>
      <c r="AW155" s="163"/>
      <c r="AX155" s="163"/>
      <c r="AY155" s="163"/>
      <c r="AZ155" s="163"/>
      <c r="BA155" s="163"/>
      <c r="BB155" s="163"/>
      <c r="BC155" s="163"/>
      <c r="BD155" s="163"/>
      <c r="BE155" s="163"/>
      <c r="BF155" s="163"/>
      <c r="BG155" s="163"/>
      <c r="BH155" s="163"/>
      <c r="BI155" s="214"/>
      <c r="BJ155" s="240"/>
      <c r="BK155" s="262" t="s">
        <v>227</v>
      </c>
      <c r="BL155" s="263">
        <f>BM133+BM137+BM141+BM145</f>
        <v>0</v>
      </c>
      <c r="BM155" s="424" t="s">
        <v>228</v>
      </c>
      <c r="BN155" s="424"/>
      <c r="BO155" s="246">
        <f>BN133+BN137+BN141+BN145</f>
        <v>0</v>
      </c>
      <c r="BP155" s="163"/>
      <c r="BQ155" s="260"/>
      <c r="BR155" s="260"/>
      <c r="BS155" s="243"/>
      <c r="BT155" s="243"/>
      <c r="BU155" s="243"/>
      <c r="BV155" s="243"/>
      <c r="BW155" s="243"/>
      <c r="BX155" s="305"/>
      <c r="BY155" s="305">
        <f>IF(H37&lt;3,      0,          H41)</f>
        <v>0</v>
      </c>
      <c r="BZ155" s="305"/>
      <c r="CA155" s="309">
        <f>BV153</f>
        <v>1</v>
      </c>
      <c r="CB155" s="235"/>
      <c r="CC155" s="235"/>
      <c r="CD155" s="8"/>
      <c r="CE155" s="8"/>
      <c r="CF155" s="8"/>
      <c r="CG155" s="8"/>
      <c r="CH155" s="8"/>
      <c r="CI155" s="8"/>
      <c r="CJ155" s="8"/>
      <c r="CK155" s="8"/>
      <c r="CL155" s="195"/>
      <c r="CM155" s="21"/>
      <c r="CN155" s="15"/>
      <c r="CO155" s="21"/>
      <c r="CP155" s="21"/>
    </row>
    <row r="156" spans="2:94" x14ac:dyDescent="0.25">
      <c r="B156" s="171"/>
      <c r="C156" s="171"/>
      <c r="D156" s="167" t="s">
        <v>82</v>
      </c>
      <c r="E156" s="163"/>
      <c r="F156" s="168">
        <v>300</v>
      </c>
      <c r="G156" s="172"/>
      <c r="H156" s="168">
        <v>300</v>
      </c>
      <c r="I156" s="168">
        <v>300</v>
      </c>
      <c r="J156" s="171"/>
      <c r="K156" s="171"/>
      <c r="L156" s="171"/>
      <c r="M156" s="171"/>
      <c r="N156" s="163"/>
      <c r="O156" s="163"/>
      <c r="P156" s="171"/>
      <c r="Q156" s="171"/>
      <c r="AU156" s="163"/>
      <c r="AV156" s="163"/>
      <c r="AW156" s="163"/>
      <c r="AX156" s="163"/>
      <c r="AY156" s="163"/>
      <c r="AZ156" s="163"/>
      <c r="BA156" s="163"/>
      <c r="BB156" s="163"/>
      <c r="BC156" s="163"/>
      <c r="BD156" s="163"/>
      <c r="BE156" s="163"/>
      <c r="BF156" s="163"/>
      <c r="BG156" s="163"/>
      <c r="BH156" s="163"/>
      <c r="BI156" s="214"/>
      <c r="BJ156" s="240"/>
      <c r="BK156" s="263"/>
      <c r="BL156" s="263"/>
      <c r="BM156" s="263"/>
      <c r="BN156" s="263"/>
      <c r="BO156" s="248"/>
      <c r="BP156" s="163"/>
      <c r="BQ156" s="307" t="s">
        <v>154</v>
      </c>
      <c r="BR156" s="307"/>
      <c r="BS156" s="289">
        <f>BO149</f>
        <v>0</v>
      </c>
      <c r="BT156" s="243"/>
      <c r="BU156" s="243"/>
      <c r="BV156" s="243"/>
      <c r="BW156" s="243"/>
      <c r="BX156" s="305"/>
      <c r="BY156" s="305"/>
      <c r="BZ156" s="305"/>
      <c r="CA156" s="309"/>
      <c r="CB156" s="240"/>
      <c r="CC156" s="240"/>
      <c r="CD156" s="12"/>
      <c r="CE156" s="12"/>
      <c r="CF156" s="12"/>
      <c r="CG156" s="12"/>
      <c r="CH156" s="12"/>
      <c r="CI156" s="8"/>
      <c r="CJ156" s="9"/>
      <c r="CK156" s="9"/>
      <c r="CL156" s="185"/>
      <c r="CM156" s="3"/>
      <c r="CN156" s="15"/>
      <c r="CO156" s="15"/>
      <c r="CP156" s="15"/>
    </row>
    <row r="157" spans="2:94" x14ac:dyDescent="0.25">
      <c r="B157" s="171"/>
      <c r="C157" s="171"/>
      <c r="D157" s="173"/>
      <c r="E157" s="171"/>
      <c r="F157" s="172"/>
      <c r="G157" s="172"/>
      <c r="H157" s="172"/>
      <c r="I157" s="172"/>
      <c r="J157" s="171"/>
      <c r="K157" s="171"/>
      <c r="L157" s="171"/>
      <c r="M157" s="171"/>
      <c r="N157" s="163"/>
      <c r="O157" s="163"/>
      <c r="P157" s="171"/>
      <c r="Q157" s="171"/>
      <c r="AU157" s="163"/>
      <c r="AV157" s="163"/>
      <c r="AW157" s="163"/>
      <c r="AX157" s="163"/>
      <c r="AY157" s="163"/>
      <c r="AZ157" s="163"/>
      <c r="BA157" s="163"/>
      <c r="BB157" s="163"/>
      <c r="BC157" s="163"/>
      <c r="BD157" s="163"/>
      <c r="BE157" s="163"/>
      <c r="BF157" s="163"/>
      <c r="BG157" s="163"/>
      <c r="BH157" s="163"/>
      <c r="BI157" s="214"/>
      <c r="BJ157" s="240"/>
      <c r="BK157" s="240"/>
      <c r="BL157" s="294" t="s">
        <v>62</v>
      </c>
      <c r="BM157" s="294"/>
      <c r="BN157" s="294"/>
      <c r="BO157" s="212">
        <f>BL133+BL137+BL141+BL145</f>
        <v>0</v>
      </c>
      <c r="BP157" s="163"/>
      <c r="BQ157" s="307" t="s">
        <v>155</v>
      </c>
      <c r="BR157" s="307"/>
      <c r="BS157" s="289">
        <f>BV153</f>
        <v>1</v>
      </c>
      <c r="BT157" s="243"/>
      <c r="BU157" s="243"/>
      <c r="BV157" s="243"/>
      <c r="BW157" s="243"/>
      <c r="BX157" s="206"/>
      <c r="BY157" s="260"/>
      <c r="BZ157" s="260"/>
      <c r="CA157" s="243"/>
      <c r="CB157" s="240"/>
      <c r="CC157" s="240"/>
      <c r="CD157" s="12"/>
      <c r="CE157" s="12"/>
      <c r="CF157" s="12"/>
      <c r="CG157" s="12"/>
      <c r="CH157" s="12"/>
      <c r="CI157" s="8"/>
      <c r="CJ157" s="9"/>
      <c r="CK157" s="9"/>
      <c r="CL157" s="195"/>
      <c r="CM157" s="3"/>
      <c r="CN157" s="15"/>
      <c r="CO157" s="15"/>
      <c r="CP157" s="15"/>
    </row>
    <row r="158" spans="2:94" ht="15" customHeight="1" x14ac:dyDescent="0.25">
      <c r="B158" s="171"/>
      <c r="C158" s="171"/>
      <c r="D158" s="167" t="s">
        <v>83</v>
      </c>
      <c r="E158" s="163"/>
      <c r="F158" s="172">
        <f t="shared" ref="F158" si="10">F150+F153+F149</f>
        <v>1057</v>
      </c>
      <c r="G158" s="172"/>
      <c r="H158" s="172">
        <f>H150+H153+H149</f>
        <v>1464</v>
      </c>
      <c r="I158" s="172">
        <f>I150+I153+I149</f>
        <v>1892</v>
      </c>
      <c r="J158" s="171"/>
      <c r="K158" s="171"/>
      <c r="L158" s="171"/>
      <c r="M158" s="171"/>
      <c r="N158" s="163"/>
      <c r="O158" s="163"/>
      <c r="P158" s="171"/>
      <c r="Q158" s="171"/>
      <c r="AU158" s="163"/>
      <c r="AV158" s="163"/>
      <c r="AW158" s="163"/>
      <c r="AX158" s="163"/>
      <c r="AY158" s="163"/>
      <c r="AZ158" s="163"/>
      <c r="BA158" s="163"/>
      <c r="BB158" s="163"/>
      <c r="BC158" s="163"/>
      <c r="BD158" s="163"/>
      <c r="BE158" s="163"/>
      <c r="BF158" s="163"/>
      <c r="BG158" s="163"/>
      <c r="BH158" s="163"/>
      <c r="BI158" s="206"/>
      <c r="BJ158" s="240"/>
      <c r="BK158" s="240"/>
      <c r="BL158" s="163"/>
      <c r="BM158" s="163"/>
      <c r="BN158" s="163"/>
      <c r="BO158" s="163"/>
      <c r="BP158" s="163"/>
      <c r="BQ158" s="169"/>
      <c r="BR158" s="169"/>
      <c r="BS158" s="243"/>
      <c r="BT158" s="243"/>
      <c r="BU158" s="243"/>
      <c r="BV158" s="243"/>
      <c r="BW158" s="243"/>
      <c r="BX158" s="206"/>
      <c r="BY158" s="260"/>
      <c r="BZ158" s="260"/>
      <c r="CA158" s="243"/>
      <c r="CB158" s="235"/>
      <c r="CC158" s="235"/>
      <c r="CD158" s="8"/>
      <c r="CE158" s="8"/>
      <c r="CF158" s="8"/>
      <c r="CG158" s="8"/>
      <c r="CH158" s="8"/>
      <c r="CI158" s="8"/>
      <c r="CJ158" s="8"/>
      <c r="CK158" s="8"/>
      <c r="CL158" s="185"/>
      <c r="CM158" s="3"/>
      <c r="CN158" s="15"/>
      <c r="CO158" s="15"/>
      <c r="CP158" s="15"/>
    </row>
    <row r="159" spans="2:94" x14ac:dyDescent="0.25">
      <c r="B159" s="171"/>
      <c r="C159" s="171"/>
      <c r="D159" s="167" t="s">
        <v>84</v>
      </c>
      <c r="E159" s="163"/>
      <c r="F159" s="172">
        <f t="shared" ref="F159" si="11">F149+F151+F154</f>
        <v>7732</v>
      </c>
      <c r="G159" s="172"/>
      <c r="H159" s="172">
        <f>H149+H151+H154</f>
        <v>8139</v>
      </c>
      <c r="I159" s="172">
        <f>I149+I151+I154</f>
        <v>5952</v>
      </c>
      <c r="J159" s="171"/>
      <c r="K159" s="171"/>
      <c r="L159" s="171"/>
      <c r="M159" s="171"/>
      <c r="N159" s="163"/>
      <c r="O159" s="163"/>
      <c r="P159" s="171"/>
      <c r="Q159" s="171"/>
      <c r="AU159" s="163"/>
      <c r="AV159" s="163"/>
      <c r="AW159" s="163"/>
      <c r="AX159" s="163"/>
      <c r="AY159" s="163"/>
      <c r="AZ159" s="163"/>
      <c r="BA159" s="163"/>
      <c r="BB159" s="163"/>
      <c r="BC159" s="163"/>
      <c r="BD159" s="163"/>
      <c r="BE159" s="163"/>
      <c r="BF159" s="163"/>
      <c r="BG159" s="163"/>
      <c r="BH159" s="163"/>
      <c r="BI159" s="206"/>
      <c r="BJ159" s="240"/>
      <c r="BK159" s="364" t="s">
        <v>90</v>
      </c>
      <c r="BL159" s="364"/>
      <c r="BM159" s="364"/>
      <c r="BN159" s="269">
        <f>(BB93*1728)/AZ92</f>
        <v>738.12550458715589</v>
      </c>
      <c r="BO159" s="163"/>
      <c r="BP159" s="163"/>
      <c r="BQ159" s="169"/>
      <c r="BR159" s="169"/>
      <c r="BS159" s="243"/>
      <c r="BT159" s="243"/>
      <c r="BU159" s="243"/>
      <c r="BV159" s="243"/>
      <c r="BW159" s="243"/>
      <c r="BX159" s="206"/>
      <c r="BY159" s="240"/>
      <c r="BZ159" s="240"/>
      <c r="CA159" s="240"/>
      <c r="CB159" s="235"/>
      <c r="CC159" s="235"/>
      <c r="CD159" s="8"/>
      <c r="CE159" s="8"/>
      <c r="CF159" s="8"/>
      <c r="CG159" s="8"/>
      <c r="CH159" s="8"/>
      <c r="CI159" s="8"/>
      <c r="CJ159" s="8"/>
      <c r="CK159" s="8"/>
      <c r="CL159" s="17"/>
      <c r="CM159" s="3"/>
      <c r="CN159" s="15"/>
      <c r="CO159" s="15"/>
      <c r="CP159" s="15"/>
    </row>
    <row r="160" spans="2:94" x14ac:dyDescent="0.25">
      <c r="B160" s="171"/>
      <c r="C160" s="171"/>
      <c r="D160" s="167" t="s">
        <v>85</v>
      </c>
      <c r="E160" s="163"/>
      <c r="F160" s="172">
        <f t="shared" ref="F160" si="12">(F149*2)+F150+F153+(F156)</f>
        <v>1814</v>
      </c>
      <c r="G160" s="172"/>
      <c r="H160" s="172">
        <f>(H149*2)+H150+H153+(H156)</f>
        <v>2628</v>
      </c>
      <c r="I160" s="172">
        <f>(I149*2)+I150+I153+(I156)</f>
        <v>3309</v>
      </c>
      <c r="J160" s="171"/>
      <c r="K160" s="171"/>
      <c r="L160" s="171"/>
      <c r="M160" s="171"/>
      <c r="N160" s="163"/>
      <c r="O160" s="163"/>
      <c r="P160" s="171"/>
      <c r="Q160" s="171"/>
      <c r="AU160" s="163"/>
      <c r="AV160" s="163"/>
      <c r="AW160" s="163"/>
      <c r="AX160" s="163"/>
      <c r="AY160" s="163"/>
      <c r="AZ160" s="163"/>
      <c r="BA160" s="163"/>
      <c r="BB160" s="163"/>
      <c r="BC160" s="163"/>
      <c r="BD160" s="163"/>
      <c r="BE160" s="163"/>
      <c r="BF160" s="163"/>
      <c r="BG160" s="163"/>
      <c r="BH160" s="163"/>
      <c r="BI160" s="163"/>
      <c r="BJ160" s="163"/>
      <c r="BK160" s="363" t="s">
        <v>91</v>
      </c>
      <c r="BL160" s="363"/>
      <c r="BM160" s="363"/>
      <c r="BN160" s="265">
        <f>(BB93*1728)/AZ91</f>
        <v>1051.7082352941175</v>
      </c>
      <c r="BO160" s="163"/>
      <c r="BP160" s="163"/>
      <c r="BQ160" s="243"/>
      <c r="BR160" s="243"/>
      <c r="BS160" s="243"/>
      <c r="BT160" s="243"/>
      <c r="BU160" s="243"/>
      <c r="BV160" s="243"/>
      <c r="BW160" s="243"/>
      <c r="BX160" s="206"/>
      <c r="BY160" s="240"/>
      <c r="BZ160" s="240"/>
      <c r="CA160" s="240"/>
      <c r="CB160" s="240"/>
      <c r="CC160" s="240"/>
      <c r="CD160" s="12"/>
      <c r="CE160" s="12"/>
      <c r="CF160" s="12"/>
      <c r="CG160" s="12"/>
      <c r="CH160" s="12"/>
      <c r="CI160" s="12"/>
      <c r="CJ160" s="3"/>
      <c r="CK160" s="3"/>
      <c r="CL160" s="17"/>
      <c r="CM160" s="15"/>
      <c r="CN160" s="15"/>
      <c r="CO160" s="15"/>
      <c r="CP160" s="15"/>
    </row>
    <row r="161" spans="2:94" ht="15" customHeight="1" x14ac:dyDescent="0.25">
      <c r="B161" s="171"/>
      <c r="C161" s="171"/>
      <c r="D161" s="167" t="s">
        <v>84</v>
      </c>
      <c r="E161" s="163"/>
      <c r="F161" s="172">
        <f t="shared" ref="F161" si="13">(F149*2)+F151+F154+(F156)</f>
        <v>8489</v>
      </c>
      <c r="G161" s="172"/>
      <c r="H161" s="172">
        <f>(H149*2)+H151+H154+(H156)</f>
        <v>9303</v>
      </c>
      <c r="I161" s="172">
        <f>(I149*2)+I151+I154+(I156)</f>
        <v>7369</v>
      </c>
      <c r="J161" s="171"/>
      <c r="K161" s="171"/>
      <c r="L161" s="171"/>
      <c r="M161" s="171"/>
      <c r="N161" s="163"/>
      <c r="O161" s="163"/>
      <c r="P161" s="171"/>
      <c r="Q161" s="171"/>
      <c r="AU161" s="163"/>
      <c r="AV161" s="163"/>
      <c r="AW161" s="163"/>
      <c r="AX161" s="163"/>
      <c r="AY161" s="163"/>
      <c r="AZ161" s="163"/>
      <c r="BA161" s="163"/>
      <c r="BB161" s="163"/>
      <c r="BC161" s="163"/>
      <c r="BD161" s="163"/>
      <c r="BE161" s="163"/>
      <c r="BF161" s="163"/>
      <c r="BG161" s="163"/>
      <c r="BH161" s="163"/>
      <c r="BI161" s="163"/>
      <c r="BJ161" s="163"/>
      <c r="BK161" s="364" t="s">
        <v>93</v>
      </c>
      <c r="BL161" s="364"/>
      <c r="BM161" s="364"/>
      <c r="BN161" s="248">
        <f>(BC93*1728)/BA92</f>
        <v>738.12550458715589</v>
      </c>
      <c r="BO161" s="163"/>
      <c r="BP161" s="163"/>
      <c r="BQ161" s="243"/>
      <c r="BR161" s="243"/>
      <c r="BS161" s="243"/>
      <c r="BT161" s="243"/>
      <c r="BU161" s="243"/>
      <c r="BV161" s="243"/>
      <c r="BW161" s="243"/>
      <c r="BX161" s="206"/>
      <c r="BY161" s="169"/>
      <c r="BZ161" s="169"/>
      <c r="CA161" s="169"/>
      <c r="CB161" s="240"/>
      <c r="CC161" s="240"/>
      <c r="CD161" s="12"/>
      <c r="CE161" s="12"/>
      <c r="CF161" s="12"/>
      <c r="CG161" s="12"/>
      <c r="CH161" s="12"/>
      <c r="CI161" s="12"/>
      <c r="CJ161" s="3"/>
      <c r="CK161" s="3"/>
      <c r="CL161" s="185"/>
      <c r="CM161" s="15"/>
      <c r="CN161" s="15"/>
      <c r="CO161" s="15"/>
      <c r="CP161" s="15"/>
    </row>
    <row r="162" spans="2:94" ht="23.25" x14ac:dyDescent="0.25">
      <c r="B162" s="171"/>
      <c r="C162" s="171"/>
      <c r="D162" s="167" t="s">
        <v>86</v>
      </c>
      <c r="E162" s="163"/>
      <c r="F162" s="172">
        <f t="shared" ref="F162" si="14">(F149*3)+F150+F153+(F156*2)</f>
        <v>2571</v>
      </c>
      <c r="G162" s="172"/>
      <c r="H162" s="172">
        <f>(H149*3)+H150+H153+(H156*2)</f>
        <v>3792</v>
      </c>
      <c r="I162" s="172">
        <f>(I149*3)+I150+I153+(I156*2)</f>
        <v>4726</v>
      </c>
      <c r="J162" s="171"/>
      <c r="K162" s="171"/>
      <c r="L162" s="171"/>
      <c r="M162" s="171"/>
      <c r="N162" s="163"/>
      <c r="O162" s="163"/>
      <c r="P162" s="171"/>
      <c r="Q162" s="171"/>
      <c r="AU162" s="163"/>
      <c r="AV162" s="163"/>
      <c r="AW162" s="163"/>
      <c r="AX162" s="215"/>
      <c r="AY162" s="215"/>
      <c r="AZ162" s="215"/>
      <c r="BA162" s="215"/>
      <c r="BB162" s="215"/>
      <c r="BC162" s="163"/>
      <c r="BD162" s="163"/>
      <c r="BE162" s="163"/>
      <c r="BF162" s="163"/>
      <c r="BG162" s="163"/>
      <c r="BH162" s="163"/>
      <c r="BI162" s="163"/>
      <c r="BJ162" s="163"/>
      <c r="BK162" s="363" t="s">
        <v>94</v>
      </c>
      <c r="BL162" s="363"/>
      <c r="BM162" s="363"/>
      <c r="BN162" s="265">
        <f>(BC93*1728)/BA91</f>
        <v>1166.0243478260868</v>
      </c>
      <c r="BO162" s="163"/>
      <c r="BP162" s="163"/>
      <c r="BQ162" s="243"/>
      <c r="BR162" s="243"/>
      <c r="BS162" s="243"/>
      <c r="BT162" s="243"/>
      <c r="BU162" s="243"/>
      <c r="BV162" s="243"/>
      <c r="BW162" s="243"/>
      <c r="BX162" s="206"/>
      <c r="BY162" s="169"/>
      <c r="BZ162" s="169"/>
      <c r="CA162" s="169"/>
      <c r="CB162" s="235"/>
      <c r="CC162" s="235"/>
      <c r="CD162" s="8"/>
      <c r="CE162" s="8"/>
      <c r="CF162" s="8"/>
      <c r="CG162" s="8"/>
      <c r="CH162" s="8"/>
      <c r="CI162" s="8"/>
      <c r="CJ162" s="8"/>
      <c r="CK162" s="8"/>
      <c r="CL162" s="17"/>
      <c r="CM162" s="15"/>
      <c r="CN162" s="15"/>
      <c r="CO162" s="15"/>
      <c r="CP162" s="15"/>
    </row>
    <row r="163" spans="2:94" ht="23.25" x14ac:dyDescent="0.25">
      <c r="B163" s="171"/>
      <c r="C163" s="171"/>
      <c r="D163" s="167" t="s">
        <v>84</v>
      </c>
      <c r="E163" s="163"/>
      <c r="F163" s="172">
        <f t="shared" ref="F163" si="15">(F149*3)+F151+F154+(F156*2)</f>
        <v>9246</v>
      </c>
      <c r="G163" s="172"/>
      <c r="H163" s="172">
        <f>(H149*3)+H151+H154+(H156*2)</f>
        <v>10467</v>
      </c>
      <c r="I163" s="172">
        <f>(I149*3)+I151+I154+(I156*2)</f>
        <v>8786</v>
      </c>
      <c r="J163" s="171"/>
      <c r="K163" s="171"/>
      <c r="L163" s="171"/>
      <c r="M163" s="171"/>
      <c r="N163" s="163"/>
      <c r="O163" s="163"/>
      <c r="P163" s="171"/>
      <c r="Q163" s="171"/>
      <c r="AU163" s="163"/>
      <c r="AV163" s="163"/>
      <c r="AW163" s="215"/>
      <c r="AX163" s="215"/>
      <c r="AY163" s="215"/>
      <c r="AZ163" s="215"/>
      <c r="BA163" s="215"/>
      <c r="BB163" s="215"/>
      <c r="BC163" s="215"/>
      <c r="BD163" s="215"/>
      <c r="BE163" s="215"/>
      <c r="BF163" s="163"/>
      <c r="BG163" s="163"/>
      <c r="BH163" s="163"/>
      <c r="BI163" s="163"/>
      <c r="BJ163" s="163"/>
      <c r="BK163" s="264"/>
      <c r="BL163" s="264"/>
      <c r="BM163" s="264"/>
      <c r="BN163" s="249"/>
      <c r="BO163" s="205"/>
      <c r="BP163" s="163"/>
      <c r="BQ163" s="240"/>
      <c r="BR163" s="240"/>
      <c r="BS163" s="240"/>
      <c r="BT163" s="240"/>
      <c r="BU163" s="243"/>
      <c r="BV163" s="243"/>
      <c r="BW163" s="243"/>
      <c r="BX163" s="206"/>
      <c r="BY163" s="169"/>
      <c r="BZ163" s="169"/>
      <c r="CA163" s="169"/>
      <c r="CB163" s="235"/>
      <c r="CC163" s="235"/>
      <c r="CD163" s="8"/>
      <c r="CE163" s="8"/>
      <c r="CF163" s="8"/>
      <c r="CG163" s="8"/>
      <c r="CH163" s="8"/>
      <c r="CI163" s="8"/>
      <c r="CJ163" s="8"/>
      <c r="CK163" s="8"/>
      <c r="CL163" s="17"/>
      <c r="CM163" s="15"/>
      <c r="CN163" s="15"/>
      <c r="CO163" s="15"/>
      <c r="CP163" s="15"/>
    </row>
    <row r="164" spans="2:94" ht="23.25" x14ac:dyDescent="0.25">
      <c r="B164" s="171"/>
      <c r="C164" s="171"/>
      <c r="D164" s="171"/>
      <c r="E164" s="171"/>
      <c r="F164" s="172"/>
      <c r="G164" s="172"/>
      <c r="H164" s="172"/>
      <c r="I164" s="172"/>
      <c r="J164" s="171"/>
      <c r="K164" s="171"/>
      <c r="L164" s="171"/>
      <c r="M164" s="171"/>
      <c r="N164" s="163"/>
      <c r="O164" s="163"/>
      <c r="P164" s="171"/>
      <c r="Q164" s="171"/>
      <c r="AU164" s="163"/>
      <c r="AV164" s="163"/>
      <c r="AW164" s="215"/>
      <c r="AX164" s="220"/>
      <c r="AY164" s="220"/>
      <c r="AZ164" s="220"/>
      <c r="BA164" s="220"/>
      <c r="BB164" s="220"/>
      <c r="BC164" s="215"/>
      <c r="BD164" s="215"/>
      <c r="BE164" s="215"/>
      <c r="BF164" s="215"/>
      <c r="BG164" s="215"/>
      <c r="BH164" s="215"/>
      <c r="BI164" s="163"/>
      <c r="BJ164" s="163"/>
      <c r="BK164" s="363" t="s">
        <v>92</v>
      </c>
      <c r="BL164" s="363"/>
      <c r="BM164" s="363"/>
      <c r="BN164" s="265">
        <f>(BG93*1728)/BE92</f>
        <v>829.43999999999994</v>
      </c>
      <c r="BO164" s="205"/>
      <c r="BP164" s="163"/>
      <c r="BQ164" s="240"/>
      <c r="BR164" s="240"/>
      <c r="BS164" s="240"/>
      <c r="BT164" s="240"/>
      <c r="BU164" s="243"/>
      <c r="BV164" s="243"/>
      <c r="BW164" s="243"/>
      <c r="BX164" s="206"/>
      <c r="BY164" s="169"/>
      <c r="BZ164" s="169"/>
      <c r="CA164" s="169"/>
      <c r="CB164" s="240"/>
      <c r="CC164" s="240"/>
      <c r="CD164" s="12"/>
      <c r="CE164" s="12"/>
      <c r="CF164" s="12"/>
      <c r="CG164" s="12"/>
      <c r="CH164" s="12"/>
      <c r="CI164" s="8"/>
      <c r="CJ164" s="8"/>
      <c r="CK164" s="8"/>
      <c r="CL164" s="36"/>
      <c r="CM164" s="15"/>
      <c r="CN164" s="15"/>
      <c r="CO164" s="15"/>
      <c r="CP164" s="15"/>
    </row>
    <row r="165" spans="2:94" ht="23.25" x14ac:dyDescent="0.25">
      <c r="B165" s="171"/>
      <c r="C165" s="171"/>
      <c r="D165" s="171"/>
      <c r="E165" s="171"/>
      <c r="F165" s="172"/>
      <c r="G165" s="172"/>
      <c r="H165" s="172"/>
      <c r="I165" s="172"/>
      <c r="J165" s="171"/>
      <c r="K165" s="171"/>
      <c r="L165" s="171"/>
      <c r="M165" s="171"/>
      <c r="N165" s="163"/>
      <c r="O165" s="163"/>
      <c r="P165" s="171"/>
      <c r="Q165" s="171"/>
      <c r="AU165" s="163"/>
      <c r="AV165" s="163"/>
      <c r="AW165" s="220"/>
      <c r="AX165" s="226"/>
      <c r="AY165" s="226"/>
      <c r="AZ165" s="226"/>
      <c r="BA165" s="226"/>
      <c r="BB165" s="214"/>
      <c r="BC165" s="220"/>
      <c r="BD165" s="220"/>
      <c r="BE165" s="220"/>
      <c r="BF165" s="215"/>
      <c r="BG165" s="215"/>
      <c r="BH165" s="215"/>
      <c r="BI165" s="163"/>
      <c r="BJ165" s="163"/>
      <c r="BK165" s="363" t="s">
        <v>95</v>
      </c>
      <c r="BL165" s="363"/>
      <c r="BM165" s="363"/>
      <c r="BN165" s="248">
        <f>(BG93*1728)/BE91</f>
        <v>986.65411764705868</v>
      </c>
      <c r="BO165" s="205"/>
      <c r="BP165" s="163"/>
      <c r="BQ165" s="163"/>
      <c r="BR165" s="163"/>
      <c r="BS165" s="163"/>
      <c r="BT165" s="163"/>
      <c r="BU165" s="163"/>
      <c r="BV165" s="163"/>
      <c r="BW165" s="163"/>
      <c r="BX165" s="163"/>
      <c r="BY165" s="163"/>
      <c r="BZ165" s="163"/>
      <c r="CA165" s="163"/>
      <c r="CB165" s="240"/>
      <c r="CC165" s="240"/>
      <c r="CD165" s="12"/>
      <c r="CE165" s="12"/>
      <c r="CF165" s="12"/>
      <c r="CG165" s="12"/>
      <c r="CH165" s="12"/>
      <c r="CI165" s="8"/>
      <c r="CJ165" s="8"/>
      <c r="CK165" s="8"/>
      <c r="CL165" s="12"/>
      <c r="CM165" s="15"/>
      <c r="CN165" s="15"/>
      <c r="CO165" s="15"/>
      <c r="CP165" s="15"/>
    </row>
    <row r="166" spans="2:94" ht="15" customHeight="1" x14ac:dyDescent="0.25">
      <c r="B166" s="171"/>
      <c r="C166" s="171"/>
      <c r="D166" s="171"/>
      <c r="E166" s="171"/>
      <c r="F166" s="171"/>
      <c r="G166" s="171"/>
      <c r="H166" s="171"/>
      <c r="I166" s="171"/>
      <c r="J166" s="171"/>
      <c r="K166" s="171"/>
      <c r="L166" s="171"/>
      <c r="M166" s="171"/>
      <c r="N166" s="170"/>
      <c r="O166" s="170"/>
      <c r="P166" s="171"/>
      <c r="Q166" s="171"/>
      <c r="AU166" s="163"/>
      <c r="AV166" s="163"/>
      <c r="AW166" s="226"/>
      <c r="AX166" s="226"/>
      <c r="AY166" s="226"/>
      <c r="AZ166" s="226"/>
      <c r="BA166" s="226"/>
      <c r="BB166" s="214"/>
      <c r="BC166" s="214"/>
      <c r="BD166" s="214"/>
      <c r="BE166" s="214"/>
      <c r="BF166" s="220"/>
      <c r="BG166" s="220"/>
      <c r="BH166" s="220"/>
      <c r="BI166" s="163"/>
      <c r="BJ166" s="163"/>
      <c r="BK166" s="363" t="s">
        <v>96</v>
      </c>
      <c r="BL166" s="363"/>
      <c r="BM166" s="363"/>
      <c r="BN166" s="265">
        <f>(BH93*1728)/BF92</f>
        <v>829.43999999999994</v>
      </c>
      <c r="BO166" s="205"/>
      <c r="BP166" s="163"/>
      <c r="BQ166" s="163"/>
      <c r="BR166" s="163"/>
      <c r="BS166" s="163"/>
      <c r="BT166" s="163"/>
      <c r="BU166" s="163"/>
      <c r="BV166" s="163"/>
      <c r="BW166" s="163"/>
      <c r="BX166" s="163"/>
      <c r="BY166" s="163"/>
      <c r="BZ166" s="163"/>
      <c r="CA166" s="163"/>
      <c r="CB166" s="215"/>
      <c r="CC166" s="215"/>
      <c r="CD166" s="4"/>
      <c r="CE166" s="4"/>
      <c r="CF166" s="4"/>
      <c r="CG166" s="4"/>
      <c r="CH166" s="4"/>
      <c r="CI166" s="4"/>
      <c r="CJ166" s="4"/>
      <c r="CK166" s="4"/>
      <c r="CL166" s="21"/>
      <c r="CM166" s="15"/>
      <c r="CN166" s="15"/>
      <c r="CO166" s="15"/>
      <c r="CP166" s="15"/>
    </row>
    <row r="167" spans="2:94" ht="15" customHeight="1" x14ac:dyDescent="0.25">
      <c r="B167" s="171"/>
      <c r="C167" s="171"/>
      <c r="D167" s="171"/>
      <c r="E167" s="171"/>
      <c r="F167" s="171"/>
      <c r="G167" s="171"/>
      <c r="H167" s="171"/>
      <c r="I167" s="171"/>
      <c r="J167" s="171"/>
      <c r="K167" s="171"/>
      <c r="L167" s="171"/>
      <c r="M167" s="171"/>
      <c r="N167" s="171"/>
      <c r="O167" s="171"/>
      <c r="P167" s="171"/>
      <c r="Q167" s="171"/>
      <c r="AU167" s="163"/>
      <c r="AV167" s="163"/>
      <c r="AW167" s="226"/>
      <c r="AX167" s="206"/>
      <c r="AY167" s="254"/>
      <c r="AZ167" s="254"/>
      <c r="BA167" s="206"/>
      <c r="BB167" s="207"/>
      <c r="BC167" s="214"/>
      <c r="BD167" s="214"/>
      <c r="BE167" s="214"/>
      <c r="BF167" s="214"/>
      <c r="BG167" s="214"/>
      <c r="BH167" s="214"/>
      <c r="BI167" s="163"/>
      <c r="BJ167" s="163"/>
      <c r="BK167" s="363" t="s">
        <v>97</v>
      </c>
      <c r="BL167" s="363"/>
      <c r="BM167" s="363"/>
      <c r="BN167" s="248">
        <f>(BH93*1728)/BF91</f>
        <v>1093.8991304347826</v>
      </c>
      <c r="BO167" s="205"/>
      <c r="BP167" s="163"/>
      <c r="BQ167" s="163"/>
      <c r="BR167" s="163"/>
      <c r="BS167" s="163"/>
      <c r="BT167" s="163"/>
      <c r="BU167" s="163"/>
      <c r="BV167" s="163"/>
      <c r="BW167" s="163"/>
      <c r="BX167" s="163"/>
      <c r="BY167" s="163"/>
      <c r="BZ167" s="163"/>
      <c r="CA167" s="163"/>
      <c r="CB167" s="215"/>
      <c r="CC167" s="215"/>
      <c r="CD167" s="4"/>
      <c r="CE167" s="4"/>
      <c r="CF167" s="4"/>
      <c r="CG167" s="4"/>
      <c r="CH167" s="4"/>
      <c r="CI167" s="4"/>
      <c r="CJ167" s="4"/>
      <c r="CK167" s="4"/>
      <c r="CL167" s="21"/>
      <c r="CM167" s="15"/>
      <c r="CN167" s="15"/>
      <c r="CO167" s="15"/>
      <c r="CP167" s="15"/>
    </row>
    <row r="168" spans="2:94" ht="15.75" x14ac:dyDescent="0.25">
      <c r="B168" s="171"/>
      <c r="C168" s="171"/>
      <c r="D168" s="171"/>
      <c r="E168" s="171"/>
      <c r="F168" s="171"/>
      <c r="G168" s="171"/>
      <c r="H168" s="171"/>
      <c r="I168" s="171"/>
      <c r="J168" s="171"/>
      <c r="K168" s="171"/>
      <c r="L168" s="171"/>
      <c r="M168" s="171"/>
      <c r="N168" s="171"/>
      <c r="O168" s="171"/>
      <c r="P168" s="171"/>
      <c r="Q168" s="171"/>
      <c r="AU168" s="163"/>
      <c r="AV168" s="163"/>
      <c r="AW168" s="206"/>
      <c r="AX168" s="206"/>
      <c r="AY168" s="254"/>
      <c r="AZ168" s="254"/>
      <c r="BA168" s="206"/>
      <c r="BB168" s="207"/>
      <c r="BC168" s="249"/>
      <c r="BD168" s="249"/>
      <c r="BE168" s="249"/>
      <c r="BF168" s="214"/>
      <c r="BG168" s="214"/>
      <c r="BH168" s="214"/>
      <c r="BI168" s="163"/>
      <c r="BJ168" s="163"/>
      <c r="BK168" s="163"/>
      <c r="BL168" s="163"/>
      <c r="BM168" s="205"/>
      <c r="BN168" s="295"/>
      <c r="BO168" s="205"/>
      <c r="BP168" s="163"/>
      <c r="BQ168" s="163"/>
      <c r="BR168" s="163"/>
      <c r="BS168" s="163"/>
      <c r="BT168" s="163"/>
      <c r="BU168" s="163"/>
      <c r="BV168" s="163"/>
      <c r="BW168" s="163"/>
      <c r="BX168" s="163"/>
      <c r="BY168" s="163"/>
      <c r="BZ168" s="163"/>
      <c r="CA168" s="163"/>
      <c r="CB168" s="220"/>
      <c r="CC168" s="220"/>
      <c r="CD168" s="5"/>
      <c r="CE168" s="5"/>
      <c r="CF168" s="5"/>
      <c r="CG168" s="5"/>
      <c r="CH168" s="5"/>
      <c r="CI168" s="5"/>
      <c r="CJ168" s="5"/>
      <c r="CK168" s="5"/>
      <c r="CL168" s="21"/>
      <c r="CM168" s="15"/>
      <c r="CN168" s="15"/>
      <c r="CO168" s="15"/>
      <c r="CP168" s="15"/>
    </row>
    <row r="169" spans="2:94" ht="15.75" x14ac:dyDescent="0.25">
      <c r="B169" s="171"/>
      <c r="C169" s="171"/>
      <c r="D169" s="171"/>
      <c r="E169" s="171"/>
      <c r="F169" s="171"/>
      <c r="G169" s="171"/>
      <c r="H169" s="171"/>
      <c r="I169" s="171"/>
      <c r="J169" s="171"/>
      <c r="K169" s="171"/>
      <c r="L169" s="171"/>
      <c r="M169" s="171"/>
      <c r="N169" s="171"/>
      <c r="O169" s="171"/>
      <c r="P169" s="171"/>
      <c r="Q169" s="171"/>
      <c r="AU169" s="163"/>
      <c r="AV169" s="163"/>
      <c r="AW169" s="206"/>
      <c r="AX169" s="214"/>
      <c r="AY169" s="214"/>
      <c r="AZ169" s="214"/>
      <c r="BA169" s="214"/>
      <c r="BB169" s="214"/>
      <c r="BC169" s="249"/>
      <c r="BD169" s="249"/>
      <c r="BE169" s="249"/>
      <c r="BF169" s="249"/>
      <c r="BG169" s="249"/>
      <c r="BH169" s="249"/>
      <c r="BI169" s="163"/>
      <c r="BJ169" s="163"/>
      <c r="BK169" s="164" t="str">
        <f>IF($H$15="Imperial",                 "Imperial (inches and ft)",               "Metric (mm and meters)")</f>
        <v>Imperial (inches and ft)</v>
      </c>
      <c r="BL169" s="356" t="str">
        <f>IF($H$23=1,               "by system width",             "by system length")</f>
        <v>by system length</v>
      </c>
      <c r="BM169" s="356"/>
      <c r="BN169" s="356"/>
      <c r="BO169" s="356"/>
      <c r="BP169" s="212"/>
      <c r="BQ169" s="355" t="s">
        <v>209</v>
      </c>
      <c r="BR169" s="355"/>
      <c r="BS169" s="355"/>
      <c r="BT169" s="355"/>
      <c r="BU169" s="355"/>
      <c r="BV169" s="355"/>
      <c r="BW169" s="355"/>
      <c r="BX169" s="355"/>
      <c r="BY169" s="355"/>
      <c r="BZ169" s="305"/>
      <c r="CA169" s="305"/>
      <c r="CB169" s="235"/>
      <c r="CC169" s="235"/>
      <c r="CD169" s="8"/>
      <c r="CE169" s="8"/>
      <c r="CF169" s="8"/>
      <c r="CG169" s="8"/>
      <c r="CH169" s="8"/>
      <c r="CI169" s="8"/>
      <c r="CJ169" s="12"/>
      <c r="CK169" s="12"/>
      <c r="CL169" s="21"/>
      <c r="CM169" s="15"/>
      <c r="CN169" s="15"/>
      <c r="CO169" s="15"/>
      <c r="CP169" s="15"/>
    </row>
    <row r="170" spans="2:94" x14ac:dyDescent="0.25">
      <c r="B170" s="171"/>
      <c r="C170" s="171"/>
      <c r="D170" s="171"/>
      <c r="E170" s="171"/>
      <c r="F170" s="171"/>
      <c r="G170" s="171"/>
      <c r="H170" s="171"/>
      <c r="I170" s="171"/>
      <c r="J170" s="171"/>
      <c r="K170" s="171"/>
      <c r="L170" s="171"/>
      <c r="M170" s="171"/>
      <c r="N170" s="171"/>
      <c r="O170" s="171"/>
      <c r="P170" s="171"/>
      <c r="Q170" s="171"/>
      <c r="AU170" s="163"/>
      <c r="AV170" s="163"/>
      <c r="AW170" s="214"/>
      <c r="AX170" s="214"/>
      <c r="AY170" s="214"/>
      <c r="AZ170" s="214"/>
      <c r="BA170" s="214"/>
      <c r="BB170" s="214"/>
      <c r="BC170" s="214"/>
      <c r="BD170" s="214"/>
      <c r="BE170" s="214"/>
      <c r="BF170" s="249"/>
      <c r="BG170" s="249"/>
      <c r="BH170" s="249"/>
      <c r="BI170" s="163"/>
      <c r="BJ170" s="163"/>
      <c r="BK170" s="302" t="s">
        <v>29</v>
      </c>
      <c r="BL170" s="353" t="s">
        <v>32</v>
      </c>
      <c r="BM170" s="302" t="s">
        <v>26</v>
      </c>
      <c r="BN170" s="302" t="s">
        <v>27</v>
      </c>
      <c r="BO170" s="302" t="s">
        <v>28</v>
      </c>
      <c r="BP170" s="251"/>
      <c r="BQ170" s="355"/>
      <c r="BR170" s="355"/>
      <c r="BS170" s="355"/>
      <c r="BT170" s="355"/>
      <c r="BU170" s="355"/>
      <c r="BV170" s="355"/>
      <c r="BW170" s="355"/>
      <c r="BX170" s="355"/>
      <c r="BY170" s="355"/>
      <c r="BZ170" s="305"/>
      <c r="CA170" s="305"/>
      <c r="CB170" s="235"/>
      <c r="CC170" s="235"/>
      <c r="CD170" s="8"/>
      <c r="CE170" s="8"/>
      <c r="CF170" s="8"/>
      <c r="CG170" s="8"/>
      <c r="CH170" s="8"/>
      <c r="CI170" s="8"/>
      <c r="CJ170" s="12"/>
      <c r="CK170" s="12"/>
      <c r="CL170" s="21"/>
      <c r="CM170" s="15"/>
      <c r="CN170" s="15"/>
      <c r="CO170" s="15"/>
      <c r="CP170" s="15"/>
    </row>
    <row r="171" spans="2:94" x14ac:dyDescent="0.25">
      <c r="B171" s="171"/>
      <c r="C171" s="171"/>
      <c r="D171" s="171"/>
      <c r="E171" s="171"/>
      <c r="F171" s="171"/>
      <c r="G171" s="171"/>
      <c r="H171" s="171"/>
      <c r="I171" s="171"/>
      <c r="J171" s="171"/>
      <c r="K171" s="171"/>
      <c r="L171" s="171"/>
      <c r="M171" s="171"/>
      <c r="N171" s="171"/>
      <c r="O171" s="171"/>
      <c r="P171" s="171"/>
      <c r="Q171" s="171"/>
      <c r="AU171" s="163"/>
      <c r="AV171" s="163"/>
      <c r="AW171" s="214"/>
      <c r="AX171" s="206"/>
      <c r="AY171" s="206"/>
      <c r="AZ171" s="206"/>
      <c r="BA171" s="206"/>
      <c r="BB171" s="206"/>
      <c r="BC171" s="214"/>
      <c r="BD171" s="214"/>
      <c r="BE171" s="214"/>
      <c r="BF171" s="214"/>
      <c r="BG171" s="249"/>
      <c r="BH171" s="249"/>
      <c r="BI171" s="163"/>
      <c r="BJ171" s="163"/>
      <c r="BK171" s="302"/>
      <c r="BL171" s="353"/>
      <c r="BM171" s="302"/>
      <c r="BN171" s="302"/>
      <c r="BO171" s="302"/>
      <c r="BP171" s="251"/>
      <c r="BQ171" s="359" t="s">
        <v>119</v>
      </c>
      <c r="BR171" s="359"/>
      <c r="BS171" s="359"/>
      <c r="BT171" s="359"/>
      <c r="BU171" s="359"/>
      <c r="BV171" s="359"/>
      <c r="BW171" s="359"/>
      <c r="BX171" s="359"/>
      <c r="BY171" s="359"/>
      <c r="BZ171" s="305"/>
      <c r="CA171" s="305"/>
      <c r="CB171" s="240"/>
      <c r="CC171" s="292"/>
      <c r="CD171" s="12"/>
      <c r="CE171" s="12"/>
      <c r="CF171" s="12"/>
      <c r="CG171" s="12"/>
      <c r="CH171" s="12"/>
      <c r="CI171" s="12"/>
      <c r="CJ171" s="12"/>
      <c r="CK171" s="12"/>
      <c r="CL171" s="3"/>
      <c r="CM171" s="15"/>
      <c r="CN171" s="15"/>
      <c r="CO171" s="15"/>
      <c r="CP171" s="15"/>
    </row>
    <row r="172" spans="2:94" x14ac:dyDescent="0.25">
      <c r="B172" s="171"/>
      <c r="C172" s="171"/>
      <c r="D172" s="171"/>
      <c r="E172" s="171"/>
      <c r="F172" s="171"/>
      <c r="G172" s="171"/>
      <c r="H172" s="171"/>
      <c r="I172" s="171"/>
      <c r="J172" s="171"/>
      <c r="K172" s="171"/>
      <c r="L172" s="171"/>
      <c r="M172" s="171"/>
      <c r="N172" s="171"/>
      <c r="O172" s="171"/>
      <c r="P172" s="171"/>
      <c r="Q172" s="171"/>
      <c r="AU172" s="163"/>
      <c r="AV172" s="163"/>
      <c r="AW172" s="206"/>
      <c r="AX172" s="206"/>
      <c r="AY172" s="206"/>
      <c r="AZ172" s="206"/>
      <c r="BA172" s="206"/>
      <c r="BB172" s="206"/>
      <c r="BC172" s="206"/>
      <c r="BD172" s="206"/>
      <c r="BE172" s="206"/>
      <c r="BF172" s="214"/>
      <c r="BG172" s="249"/>
      <c r="BH172" s="249"/>
      <c r="BI172" s="163"/>
      <c r="BJ172" s="163"/>
      <c r="BK172" s="302"/>
      <c r="BL172" s="353"/>
      <c r="BM172" s="302"/>
      <c r="BN172" s="302"/>
      <c r="BO172" s="302"/>
      <c r="BP172" s="251"/>
      <c r="BQ172" s="359"/>
      <c r="BR172" s="359"/>
      <c r="BS172" s="359"/>
      <c r="BT172" s="359"/>
      <c r="BU172" s="359"/>
      <c r="BV172" s="359"/>
      <c r="BW172" s="359"/>
      <c r="BX172" s="359"/>
      <c r="BY172" s="359"/>
      <c r="BZ172" s="341" t="s">
        <v>98</v>
      </c>
      <c r="CA172" s="341" t="s">
        <v>99</v>
      </c>
      <c r="CB172" s="240"/>
      <c r="CC172" s="292"/>
      <c r="CD172" s="12"/>
      <c r="CE172" s="12"/>
      <c r="CF172" s="12"/>
      <c r="CG172" s="12"/>
      <c r="CH172" s="12"/>
      <c r="CI172" s="12"/>
      <c r="CJ172" s="12"/>
      <c r="CK172" s="12"/>
      <c r="CL172" s="3"/>
      <c r="CM172" s="15"/>
      <c r="CN172" s="15"/>
      <c r="CO172" s="15"/>
      <c r="CP172" s="15"/>
    </row>
    <row r="173" spans="2:94" x14ac:dyDescent="0.25">
      <c r="B173" s="171"/>
      <c r="C173" s="171"/>
      <c r="D173" s="171"/>
      <c r="E173" s="171"/>
      <c r="F173" s="171"/>
      <c r="G173" s="171"/>
      <c r="H173" s="171"/>
      <c r="I173" s="171"/>
      <c r="J173" s="171"/>
      <c r="K173" s="171"/>
      <c r="L173" s="171"/>
      <c r="M173" s="171"/>
      <c r="N173" s="171"/>
      <c r="O173" s="171"/>
      <c r="P173" s="171"/>
      <c r="Q173" s="171"/>
      <c r="AU173" s="163"/>
      <c r="AV173" s="163"/>
      <c r="AW173" s="206"/>
      <c r="AX173" s="214"/>
      <c r="AY173" s="214"/>
      <c r="AZ173" s="214"/>
      <c r="BA173" s="214"/>
      <c r="BB173" s="214"/>
      <c r="BC173" s="206"/>
      <c r="BD173" s="206"/>
      <c r="BE173" s="206"/>
      <c r="BF173" s="206"/>
      <c r="BG173" s="249"/>
      <c r="BH173" s="249"/>
      <c r="BI173" s="163"/>
      <c r="BJ173" s="163"/>
      <c r="BK173" s="302"/>
      <c r="BL173" s="242">
        <f>IF(H37&lt;4,     0,        IF(BO189=1,         IF(BO190=1,    1,    2),             IF(BO190=1,    2,    4)))</f>
        <v>0</v>
      </c>
      <c r="BM173" s="242">
        <f>IF(BL173=0,     0,        IF(BL173=1,          BL173*(AZ45+AZ47),                  IF(BL173=2,             IF(BO190=1,         BD45+BD47,            BG45+BG47),             BL173*AZ103)))</f>
        <v>0</v>
      </c>
      <c r="BN173" s="242">
        <f>IF(BL173=0,     0,        IF(BL173=1,          BL173*AZ7,                  IF(BL173=2,             IF(BO190=1,         BD7,            BL173*AY93),             BL173*AY93)))</f>
        <v>0</v>
      </c>
      <c r="BO173" s="242">
        <f>BM173+BN173</f>
        <v>0</v>
      </c>
      <c r="BP173" s="260"/>
      <c r="BQ173" s="342" t="str">
        <f>IF($H$15="Imperial",       "Required Cubic Feet",       "Required Cubic Meters")</f>
        <v>Required Cubic Feet</v>
      </c>
      <c r="BR173" s="342" t="str">
        <f>IF($H$15="Imperial",       "Required Cubic Inches",       "Required Cubic mm")</f>
        <v>Required Cubic Inches</v>
      </c>
      <c r="BS173" s="342" t="str">
        <f>IF(BV2=1,       "Constraint Dimension (Width)",       "Constraint Dimension (Length)")</f>
        <v>Constraint Dimension (Length)</v>
      </c>
      <c r="BT173" s="342" t="str">
        <f>IF(BV2=1,       "(Constraint Width-2endR Width)/midR Width",       "(Constriant Length-2endC length)/midC length")</f>
        <v>(Constriant Length-2endC length)/midC length</v>
      </c>
      <c r="BU173" s="342"/>
      <c r="BV173" s="342" t="str">
        <f>IF(BV2=1,       "RoundDown for Maximum Number of midR",       "RoundDown for Maximum Number of midCs per Row")</f>
        <v>RoundDown for Maximum Number of midCs per Row</v>
      </c>
      <c r="BW173" s="342"/>
      <c r="BX173" s="342" t="str">
        <f>IF(BV2=1,       "Max suggested Number of Rows",      "Maximum Number of Chambers per Row")</f>
        <v>Maximum Number of Chambers per Row</v>
      </c>
      <c r="BY173" s="342"/>
      <c r="BZ173" s="341"/>
      <c r="CA173" s="341"/>
      <c r="CB173" s="235"/>
      <c r="CC173" s="235"/>
      <c r="CD173" s="8"/>
      <c r="CE173" s="8"/>
      <c r="CF173" s="8"/>
      <c r="CG173" s="8"/>
      <c r="CH173" s="8"/>
      <c r="CI173" s="17"/>
      <c r="CJ173" s="8"/>
      <c r="CK173" s="8"/>
      <c r="CL173" s="3"/>
      <c r="CM173" s="15"/>
      <c r="CN173" s="15"/>
      <c r="CO173" s="15"/>
      <c r="CP173" s="15"/>
    </row>
    <row r="174" spans="2:94" x14ac:dyDescent="0.25">
      <c r="B174" s="171"/>
      <c r="C174" s="171"/>
      <c r="D174" s="171"/>
      <c r="E174" s="171"/>
      <c r="F174" s="171"/>
      <c r="G174" s="171"/>
      <c r="H174" s="171"/>
      <c r="I174" s="171"/>
      <c r="J174" s="171"/>
      <c r="K174" s="171"/>
      <c r="L174" s="171"/>
      <c r="M174" s="171"/>
      <c r="N174" s="171"/>
      <c r="O174" s="171"/>
      <c r="P174" s="171"/>
      <c r="Q174" s="171"/>
      <c r="AU174" s="163"/>
      <c r="AV174" s="163"/>
      <c r="AW174" s="214"/>
      <c r="AX174" s="214"/>
      <c r="AY174" s="214"/>
      <c r="AZ174" s="214"/>
      <c r="BA174" s="214"/>
      <c r="BB174" s="214"/>
      <c r="BC174" s="214"/>
      <c r="BD174" s="214"/>
      <c r="BE174" s="214"/>
      <c r="BF174" s="206"/>
      <c r="BG174" s="249"/>
      <c r="BH174" s="249"/>
      <c r="BI174" s="163"/>
      <c r="BJ174" s="163"/>
      <c r="BK174" s="302" t="s">
        <v>30</v>
      </c>
      <c r="BL174" s="353" t="s">
        <v>32</v>
      </c>
      <c r="BM174" s="302" t="s">
        <v>26</v>
      </c>
      <c r="BN174" s="302" t="s">
        <v>27</v>
      </c>
      <c r="BO174" s="302" t="s">
        <v>28</v>
      </c>
      <c r="BP174" s="163"/>
      <c r="BQ174" s="342"/>
      <c r="BR174" s="342"/>
      <c r="BS174" s="342"/>
      <c r="BT174" s="342"/>
      <c r="BU174" s="342"/>
      <c r="BV174" s="342"/>
      <c r="BW174" s="342"/>
      <c r="BX174" s="342"/>
      <c r="BY174" s="342"/>
      <c r="BZ174" s="345">
        <f>IF(BV2=1,    IF(H15="Imperial",    IF(BX175=1,    (AZ101+H55-(H45/2))/12,   ((2*AZ101)+((BX175-2)*BA101))/12),      IF(BX175=1,     (AZ101+H55-(H45/2))/1000,      ((2*AZ101)+((BX175-2)*BA101))/1000)),                            IF(H15="Imperial",          IF(BU182=1,     (AZ101+H55-(H45/2))/12,      ((2*AZ101)+((BU182-2)*BA101))/12),             IF(BU182=1,        (AZ101+H55-(H45/2))/1000,      ((2*AZ101)+((BU182-2)*BA101))/1000)))</f>
        <v>7</v>
      </c>
      <c r="CA174" s="345">
        <f>IF(BV2=1,                 "N/A",                 IF(H15="Imperial",                  IF(BX175=1,                 (AZ5+H55+H55)/12,               ((2*AZ102)+((BX175-2)*BE102))/12),                                                                                                                              IF(BX175=1,            (AZ5+H55+H55)/1000,               ((2*AZ102)+((BX175-2)*BE102))/1000)))</f>
        <v>10.583333333333334</v>
      </c>
      <c r="CB174" s="235"/>
      <c r="CC174" s="235"/>
      <c r="CD174" s="8"/>
      <c r="CE174" s="8"/>
      <c r="CF174" s="8"/>
      <c r="CG174" s="8"/>
      <c r="CH174" s="8"/>
      <c r="CI174" s="17"/>
      <c r="CJ174" s="8"/>
      <c r="CK174" s="8"/>
      <c r="CL174" s="3"/>
      <c r="CM174" s="15"/>
      <c r="CN174" s="15"/>
      <c r="CO174" s="15"/>
      <c r="CP174" s="15"/>
    </row>
    <row r="175" spans="2:94" x14ac:dyDescent="0.25">
      <c r="B175" s="171"/>
      <c r="C175" s="171"/>
      <c r="D175" s="171"/>
      <c r="E175" s="171"/>
      <c r="F175" s="171"/>
      <c r="G175" s="171"/>
      <c r="H175" s="171"/>
      <c r="I175" s="171"/>
      <c r="J175" s="171"/>
      <c r="K175" s="171"/>
      <c r="L175" s="171"/>
      <c r="M175" s="171"/>
      <c r="N175" s="171"/>
      <c r="O175" s="171"/>
      <c r="P175" s="171"/>
      <c r="Q175" s="171"/>
      <c r="AU175" s="163"/>
      <c r="AV175" s="163"/>
      <c r="AW175" s="214"/>
      <c r="AX175" s="206"/>
      <c r="AY175" s="206"/>
      <c r="AZ175" s="206"/>
      <c r="BA175" s="206"/>
      <c r="BB175" s="206"/>
      <c r="BC175" s="214"/>
      <c r="BD175" s="214"/>
      <c r="BE175" s="214"/>
      <c r="BF175" s="214"/>
      <c r="BG175" s="214"/>
      <c r="BH175" s="214"/>
      <c r="BI175" s="163"/>
      <c r="BJ175" s="163"/>
      <c r="BK175" s="302"/>
      <c r="BL175" s="353"/>
      <c r="BM175" s="302"/>
      <c r="BN175" s="302"/>
      <c r="BO175" s="302"/>
      <c r="BP175" s="163"/>
      <c r="BQ175" s="305">
        <f>IF($H$37=1,       0,                 IF($H$37=2,      0,           IF($H$37=3,    0,      $H$17/4)))</f>
        <v>0</v>
      </c>
      <c r="BR175" s="348">
        <f>IF($H$15="Imperial",         BQ175*1728,        BQ175*1000000000)</f>
        <v>0</v>
      </c>
      <c r="BS175" s="305">
        <f>IF(H37=4,             H25,                0)</f>
        <v>0</v>
      </c>
      <c r="BT175" s="305">
        <f>IF($H$15="Imperial",                    IF(BV2=1,              ((BS175*12)-(2*AZ101))/BA101,                                    ((BS175*12)-(2*AZ102))/BE102),                                                                                                                                                                            IF(BV2=1,                                                                                                                     ((BS175*1000)-(2*AZ101))/BA101,                                ((BS175*1000)-(2*AZ102))/BE102))</f>
        <v>-2.3956043956043955</v>
      </c>
      <c r="BU175" s="305"/>
      <c r="BV175" s="305">
        <f>IF(BT175&lt;0,        0,         ROUNDDOWN(BT175,0))</f>
        <v>0</v>
      </c>
      <c r="BW175" s="305"/>
      <c r="BX175" s="305">
        <f>IF(BQ175&lt;=AZ49,     1,    IF(H15="Imperial",      IF(BV2=1,         IF(BS175&lt;(((2*AZ101)/12)),         1,     BV175+2),             IF(BS175&lt;(((2*AZ102)/12)),      1,    BV175+2)),                                                                                        IF(BV2=1,                                                                                                IF(BS175&lt;(((2*AZ101)/1000)),     1,     BV175+2),             IF(BS175&lt;(((2*AZ102)/1000)),       1,     BV175+2))))</f>
        <v>1</v>
      </c>
      <c r="BY175" s="305"/>
      <c r="BZ175" s="345"/>
      <c r="CA175" s="345"/>
      <c r="CB175" s="240"/>
      <c r="CC175" s="240"/>
      <c r="CD175" s="12"/>
      <c r="CE175" s="12"/>
      <c r="CF175" s="12"/>
      <c r="CG175" s="12"/>
      <c r="CH175" s="12"/>
      <c r="CI175" s="17"/>
      <c r="CJ175" s="9"/>
      <c r="CK175" s="9"/>
      <c r="CL175" s="193"/>
      <c r="CM175" s="15"/>
      <c r="CN175" s="15"/>
      <c r="CO175" s="15"/>
      <c r="CP175" s="15"/>
    </row>
    <row r="176" spans="2:94" x14ac:dyDescent="0.25">
      <c r="B176" s="171"/>
      <c r="C176" s="171"/>
      <c r="D176" s="171"/>
      <c r="E176" s="171"/>
      <c r="F176" s="171"/>
      <c r="G176" s="171"/>
      <c r="H176" s="171"/>
      <c r="I176" s="171"/>
      <c r="J176" s="171"/>
      <c r="K176" s="171"/>
      <c r="L176" s="171"/>
      <c r="M176" s="171"/>
      <c r="N176" s="171"/>
      <c r="O176" s="171"/>
      <c r="P176" s="171"/>
      <c r="Q176" s="171"/>
      <c r="AU176" s="163"/>
      <c r="AV176" s="163"/>
      <c r="AW176" s="206"/>
      <c r="AX176" s="206"/>
      <c r="AY176" s="206"/>
      <c r="AZ176" s="206"/>
      <c r="BA176" s="206"/>
      <c r="BB176" s="206"/>
      <c r="BC176" s="206"/>
      <c r="BD176" s="206"/>
      <c r="BE176" s="206"/>
      <c r="BF176" s="214"/>
      <c r="BG176" s="214"/>
      <c r="BH176" s="214"/>
      <c r="BI176" s="163"/>
      <c r="BJ176" s="163"/>
      <c r="BK176" s="302"/>
      <c r="BL176" s="353"/>
      <c r="BM176" s="302"/>
      <c r="BN176" s="302"/>
      <c r="BO176" s="302"/>
      <c r="BP176" s="163"/>
      <c r="BQ176" s="305"/>
      <c r="BR176" s="348"/>
      <c r="BS176" s="305"/>
      <c r="BT176" s="305"/>
      <c r="BU176" s="305"/>
      <c r="BV176" s="305"/>
      <c r="BW176" s="305"/>
      <c r="BX176" s="305"/>
      <c r="BY176" s="305"/>
      <c r="BZ176" s="276"/>
      <c r="CA176" s="276"/>
      <c r="CB176" s="240"/>
      <c r="CC176" s="240"/>
      <c r="CD176" s="12"/>
      <c r="CE176" s="12"/>
      <c r="CF176" s="12"/>
      <c r="CG176" s="12"/>
      <c r="CH176" s="12"/>
      <c r="CI176" s="17"/>
      <c r="CJ176" s="9"/>
      <c r="CK176" s="9"/>
      <c r="CL176" s="193"/>
      <c r="CM176" s="15"/>
      <c r="CN176" s="15"/>
      <c r="CO176" s="15"/>
      <c r="CP176" s="15"/>
    </row>
    <row r="177" spans="2:94" x14ac:dyDescent="0.25">
      <c r="B177" s="171"/>
      <c r="C177" s="171"/>
      <c r="D177" s="171"/>
      <c r="E177" s="171"/>
      <c r="F177" s="171"/>
      <c r="G177" s="171"/>
      <c r="H177" s="171"/>
      <c r="I177" s="171"/>
      <c r="J177" s="171"/>
      <c r="K177" s="171"/>
      <c r="L177" s="171"/>
      <c r="M177" s="171"/>
      <c r="N177" s="171"/>
      <c r="O177" s="171"/>
      <c r="P177" s="171"/>
      <c r="Q177" s="171"/>
      <c r="AU177" s="163"/>
      <c r="AV177" s="163"/>
      <c r="AW177" s="206"/>
      <c r="AX177" s="214"/>
      <c r="AY177" s="214"/>
      <c r="AZ177" s="214"/>
      <c r="BA177" s="214"/>
      <c r="BB177" s="214"/>
      <c r="BC177" s="206"/>
      <c r="BD177" s="206"/>
      <c r="BE177" s="206"/>
      <c r="BF177" s="206"/>
      <c r="BG177" s="235"/>
      <c r="BH177" s="235"/>
      <c r="BI177" s="163"/>
      <c r="BJ177" s="163"/>
      <c r="BK177" s="302"/>
      <c r="BL177" s="246">
        <f>IF(H37&lt;4,       0,         IF(BT193=0,        0,         IF(BO189=1,        BT193,    2*BT193)))</f>
        <v>0</v>
      </c>
      <c r="BM177" s="265">
        <f>BL177*BE103</f>
        <v>0</v>
      </c>
      <c r="BN177" s="248">
        <f>BL177*BD103</f>
        <v>0</v>
      </c>
      <c r="BO177" s="242">
        <f>IF(BL177=0,           0,                 IF(H15="Imperial",               IF(BS196=1,                BM177+BN177+(BL177*((((H55-(H45/2))*AZ99*AZ102)/1728)*(H33/100))),                        BM177+BN177),                                                           IF(BS196=1,                                                                                                              BM177+BN177+(BL177*((((H55-(H45/2))*AZ99*AZ102)/1000000000)*(H33/100))),                   BM177+BN177)))</f>
        <v>0</v>
      </c>
      <c r="BP177" s="163"/>
      <c r="BQ177" s="341" t="s">
        <v>230</v>
      </c>
      <c r="BR177" s="341"/>
      <c r="BS177" s="341"/>
      <c r="BT177" s="341"/>
      <c r="BU177" s="341"/>
      <c r="BV177" s="341"/>
      <c r="BW177" s="341"/>
      <c r="BX177" s="341"/>
      <c r="BY177" s="341"/>
      <c r="BZ177" s="276"/>
      <c r="CA177" s="276"/>
      <c r="CB177" s="235"/>
      <c r="CC177" s="235"/>
      <c r="CD177" s="8"/>
      <c r="CE177" s="8"/>
      <c r="CF177" s="8"/>
      <c r="CG177" s="8"/>
      <c r="CH177" s="8"/>
      <c r="CI177" s="8"/>
      <c r="CJ177" s="8"/>
      <c r="CK177" s="8"/>
      <c r="CL177" s="13"/>
      <c r="CM177" s="15"/>
      <c r="CN177" s="15"/>
      <c r="CO177" s="15"/>
      <c r="CP177" s="15"/>
    </row>
    <row r="178" spans="2:94" x14ac:dyDescent="0.25">
      <c r="B178" s="171"/>
      <c r="C178" s="171"/>
      <c r="D178" s="171"/>
      <c r="E178" s="171"/>
      <c r="F178" s="171"/>
      <c r="G178" s="171"/>
      <c r="H178" s="171"/>
      <c r="I178" s="171"/>
      <c r="J178" s="171"/>
      <c r="K178" s="171"/>
      <c r="L178" s="171"/>
      <c r="M178" s="171"/>
      <c r="N178" s="171"/>
      <c r="O178" s="171"/>
      <c r="P178" s="171"/>
      <c r="Q178" s="171"/>
      <c r="AU178" s="163"/>
      <c r="AV178" s="163"/>
      <c r="AW178" s="214"/>
      <c r="AX178" s="214"/>
      <c r="AY178" s="214"/>
      <c r="AZ178" s="214"/>
      <c r="BA178" s="214"/>
      <c r="BB178" s="214"/>
      <c r="BC178" s="214"/>
      <c r="BD178" s="214"/>
      <c r="BE178" s="214"/>
      <c r="BF178" s="206"/>
      <c r="BG178" s="235"/>
      <c r="BH178" s="235"/>
      <c r="BI178" s="163"/>
      <c r="BJ178" s="163"/>
      <c r="BK178" s="302" t="s">
        <v>31</v>
      </c>
      <c r="BL178" s="353" t="s">
        <v>32</v>
      </c>
      <c r="BM178" s="302" t="s">
        <v>26</v>
      </c>
      <c r="BN178" s="302" t="s">
        <v>27</v>
      </c>
      <c r="BO178" s="302" t="s">
        <v>28</v>
      </c>
      <c r="BP178" s="163"/>
      <c r="BQ178" s="341"/>
      <c r="BR178" s="341"/>
      <c r="BS178" s="341"/>
      <c r="BT178" s="341"/>
      <c r="BU178" s="341"/>
      <c r="BV178" s="341"/>
      <c r="BW178" s="341"/>
      <c r="BX178" s="341"/>
      <c r="BY178" s="341"/>
      <c r="BZ178" s="276"/>
      <c r="CA178" s="276"/>
      <c r="CB178" s="235"/>
      <c r="CC178" s="235"/>
      <c r="CD178" s="8"/>
      <c r="CE178" s="8"/>
      <c r="CF178" s="8"/>
      <c r="CG178" s="8"/>
      <c r="CH178" s="8"/>
      <c r="CI178" s="8"/>
      <c r="CJ178" s="8"/>
      <c r="CK178" s="8"/>
      <c r="CL178" s="21"/>
      <c r="CM178" s="15"/>
      <c r="CN178" s="15"/>
      <c r="CO178" s="15"/>
      <c r="CP178" s="15"/>
    </row>
    <row r="179" spans="2:94" x14ac:dyDescent="0.25">
      <c r="B179" s="171"/>
      <c r="C179" s="171"/>
      <c r="D179" s="171"/>
      <c r="E179" s="171"/>
      <c r="F179" s="171"/>
      <c r="G179" s="171"/>
      <c r="H179" s="171"/>
      <c r="I179" s="171"/>
      <c r="J179" s="171"/>
      <c r="K179" s="171"/>
      <c r="L179" s="171"/>
      <c r="M179" s="171"/>
      <c r="N179" s="171"/>
      <c r="O179" s="171"/>
      <c r="P179" s="171"/>
      <c r="Q179" s="171"/>
      <c r="AU179" s="163"/>
      <c r="AV179" s="163"/>
      <c r="AW179" s="214"/>
      <c r="AX179" s="206"/>
      <c r="AY179" s="206"/>
      <c r="AZ179" s="206"/>
      <c r="BA179" s="206"/>
      <c r="BB179" s="206"/>
      <c r="BC179" s="214"/>
      <c r="BD179" s="214"/>
      <c r="BE179" s="214"/>
      <c r="BF179" s="214"/>
      <c r="BG179" s="235"/>
      <c r="BH179" s="235"/>
      <c r="BI179" s="163"/>
      <c r="BJ179" s="163"/>
      <c r="BK179" s="302"/>
      <c r="BL179" s="353"/>
      <c r="BM179" s="302"/>
      <c r="BN179" s="302"/>
      <c r="BO179" s="302"/>
      <c r="BP179" s="163"/>
      <c r="BQ179" s="342" t="str">
        <f>IF(BV2=1,    "",      "number of endCs per fullR*endRendCvolumes")</f>
        <v>number of endCs per fullR*endRendCvolumes</v>
      </c>
      <c r="BR179" s="342" t="str">
        <f>IF(BV2=1,       "",      "Max number of midC per fullR*endRmidC Volume")</f>
        <v>Max number of midC per fullR*endRmidC Volume</v>
      </c>
      <c r="BS179" s="342"/>
      <c r="BT179" s="342" t="str">
        <f>IF(BV2=1,     "",      "Number of End Rows")</f>
        <v>Number of End Rows</v>
      </c>
      <c r="BU179" s="342" t="str">
        <f>IF(BV2=1,        "",     "min number of rows suggested")</f>
        <v>min number of rows suggested</v>
      </c>
      <c r="BV179" s="342"/>
      <c r="BW179" s="341" t="s">
        <v>122</v>
      </c>
      <c r="BX179" s="341"/>
      <c r="BY179" s="341"/>
      <c r="BZ179" s="276"/>
      <c r="CA179" s="276"/>
      <c r="CB179" s="240"/>
      <c r="CC179" s="240"/>
      <c r="CD179" s="12"/>
      <c r="CE179" s="12"/>
      <c r="CF179" s="12"/>
      <c r="CG179" s="12"/>
      <c r="CH179" s="12"/>
      <c r="CI179" s="12"/>
      <c r="CJ179" s="3"/>
      <c r="CK179" s="3"/>
      <c r="CL179" s="21"/>
      <c r="CM179" s="15"/>
      <c r="CN179" s="15"/>
      <c r="CO179" s="15"/>
      <c r="CP179" s="15"/>
    </row>
    <row r="180" spans="2:94" x14ac:dyDescent="0.25">
      <c r="B180" s="171"/>
      <c r="C180" s="171"/>
      <c r="D180" s="171"/>
      <c r="E180" s="171"/>
      <c r="F180" s="171"/>
      <c r="G180" s="171"/>
      <c r="H180" s="171"/>
      <c r="I180" s="171"/>
      <c r="J180" s="171"/>
      <c r="K180" s="171"/>
      <c r="L180" s="171"/>
      <c r="M180" s="171"/>
      <c r="N180" s="171"/>
      <c r="O180" s="171"/>
      <c r="P180" s="171"/>
      <c r="Q180" s="171"/>
      <c r="AU180" s="163"/>
      <c r="AV180" s="163"/>
      <c r="AW180" s="206"/>
      <c r="AX180" s="206"/>
      <c r="AY180" s="206"/>
      <c r="AZ180" s="206"/>
      <c r="BA180" s="206"/>
      <c r="BB180" s="206"/>
      <c r="BC180" s="206"/>
      <c r="BD180" s="206"/>
      <c r="BE180" s="206"/>
      <c r="BF180" s="214"/>
      <c r="BG180" s="235"/>
      <c r="BH180" s="235"/>
      <c r="BI180" s="163"/>
      <c r="BJ180" s="163"/>
      <c r="BK180" s="302"/>
      <c r="BL180" s="353"/>
      <c r="BM180" s="302"/>
      <c r="BN180" s="302"/>
      <c r="BO180" s="302"/>
      <c r="BP180" s="163"/>
      <c r="BQ180" s="342"/>
      <c r="BR180" s="342"/>
      <c r="BS180" s="342"/>
      <c r="BT180" s="342"/>
      <c r="BU180" s="342"/>
      <c r="BV180" s="342"/>
      <c r="BW180" s="341"/>
      <c r="BX180" s="341"/>
      <c r="BY180" s="341"/>
      <c r="BZ180" s="276"/>
      <c r="CA180" s="276"/>
      <c r="CB180" s="240"/>
      <c r="CC180" s="240"/>
      <c r="CD180" s="12"/>
      <c r="CE180" s="12"/>
      <c r="CF180" s="12"/>
      <c r="CG180" s="12"/>
      <c r="CH180" s="12"/>
      <c r="CI180" s="12"/>
      <c r="CJ180" s="3"/>
      <c r="CK180" s="3"/>
      <c r="CL180" s="21"/>
      <c r="CM180" s="15"/>
      <c r="CN180" s="15"/>
      <c r="CO180" s="15"/>
      <c r="CP180" s="15"/>
    </row>
    <row r="181" spans="2:94" x14ac:dyDescent="0.25">
      <c r="B181" s="171"/>
      <c r="C181" s="171"/>
      <c r="D181" s="171"/>
      <c r="E181" s="171"/>
      <c r="F181" s="171"/>
      <c r="G181" s="171"/>
      <c r="H181" s="171"/>
      <c r="I181" s="171"/>
      <c r="J181" s="171"/>
      <c r="K181" s="171"/>
      <c r="L181" s="171"/>
      <c r="M181" s="171"/>
      <c r="N181" s="171"/>
      <c r="O181" s="171"/>
      <c r="P181" s="171"/>
      <c r="Q181" s="171"/>
      <c r="AU181" s="163"/>
      <c r="AV181" s="163"/>
      <c r="AW181" s="206"/>
      <c r="AX181" s="214"/>
      <c r="AY181" s="214"/>
      <c r="AZ181" s="214"/>
      <c r="BA181" s="214"/>
      <c r="BB181" s="214"/>
      <c r="BC181" s="206"/>
      <c r="BD181" s="206"/>
      <c r="BE181" s="206"/>
      <c r="BF181" s="206"/>
      <c r="BG181" s="235"/>
      <c r="BH181" s="235"/>
      <c r="BI181" s="163"/>
      <c r="BJ181" s="163"/>
      <c r="BK181" s="302"/>
      <c r="BL181" s="246">
        <f>IF(H37&lt;4,     0,            IF(BT188=0,     0,             IF(BS197=1,                  BT188,          2*BT188)))</f>
        <v>0</v>
      </c>
      <c r="BM181" s="265">
        <f>IF(BL181=0,       0,             IF(BO190=1,         BL181*(AZ45+AZ47),            BL181*BA103))</f>
        <v>0</v>
      </c>
      <c r="BN181" s="248">
        <f>IF(BL181=0,     0,          IF(BO190=1,          BL181*AZ7,          BL181*AY103))</f>
        <v>0</v>
      </c>
      <c r="BO181" s="242">
        <f>BM181+BN181</f>
        <v>0</v>
      </c>
      <c r="BP181" s="163"/>
      <c r="BQ181" s="342"/>
      <c r="BR181" s="342"/>
      <c r="BS181" s="342"/>
      <c r="BT181" s="342"/>
      <c r="BU181" s="342"/>
      <c r="BV181" s="342"/>
      <c r="BW181" s="341"/>
      <c r="BX181" s="341"/>
      <c r="BY181" s="341"/>
      <c r="BZ181" s="276"/>
      <c r="CA181" s="276"/>
      <c r="CB181" s="235"/>
      <c r="CC181" s="235"/>
      <c r="CD181" s="8"/>
      <c r="CE181" s="8"/>
      <c r="CF181" s="8"/>
      <c r="CG181" s="8"/>
      <c r="CH181" s="8"/>
      <c r="CI181" s="12"/>
      <c r="CJ181" s="12"/>
      <c r="CK181" s="12"/>
      <c r="CL181" s="21"/>
      <c r="CM181" s="15"/>
      <c r="CN181" s="15"/>
      <c r="CO181" s="15"/>
      <c r="CP181" s="15"/>
    </row>
    <row r="182" spans="2:94" x14ac:dyDescent="0.25">
      <c r="B182" s="171"/>
      <c r="C182" s="171"/>
      <c r="D182" s="171"/>
      <c r="E182" s="171"/>
      <c r="F182" s="171"/>
      <c r="G182" s="171"/>
      <c r="H182" s="171"/>
      <c r="I182" s="171"/>
      <c r="J182" s="171"/>
      <c r="K182" s="171"/>
      <c r="L182" s="171"/>
      <c r="M182" s="171"/>
      <c r="N182" s="171"/>
      <c r="O182" s="171"/>
      <c r="P182" s="171"/>
      <c r="Q182" s="171"/>
      <c r="AU182" s="163"/>
      <c r="AV182" s="163"/>
      <c r="AW182" s="214"/>
      <c r="AX182" s="214"/>
      <c r="AY182" s="214"/>
      <c r="AZ182" s="214"/>
      <c r="BA182" s="214"/>
      <c r="BB182" s="214"/>
      <c r="BC182" s="214"/>
      <c r="BD182" s="214"/>
      <c r="BE182" s="214"/>
      <c r="BF182" s="206"/>
      <c r="BG182" s="235"/>
      <c r="BH182" s="235"/>
      <c r="BI182" s="163"/>
      <c r="BJ182" s="163"/>
      <c r="BK182" s="302" t="s">
        <v>56</v>
      </c>
      <c r="BL182" s="353" t="s">
        <v>32</v>
      </c>
      <c r="BM182" s="302" t="s">
        <v>26</v>
      </c>
      <c r="BN182" s="302" t="s">
        <v>27</v>
      </c>
      <c r="BO182" s="302" t="s">
        <v>28</v>
      </c>
      <c r="BP182" s="163"/>
      <c r="BQ182" s="305">
        <f>IF(BV2=1,         0,             IF(H15="Imperial",                     IF(BX175=1,            (AZ7+AZ45)+(((H55*AZ99*(AZ101))/1728)*(H33/100)),               2*BB103),                                                                                                                                                                                                                                          IF(BX175=1,                                         (AZ7+AZ45)+(((H55*AZ99*(AZ101))/1000000000)*(H33/100)),            2*BB103)))</f>
        <v>49.440000000000005</v>
      </c>
      <c r="BR182" s="305">
        <f>IF(BV2=1,     0,      IF(BV175=0,       0,      BV175*BG103))</f>
        <v>0</v>
      </c>
      <c r="BS182" s="305"/>
      <c r="BT182" s="305">
        <f>IF(BV2=1,          0,        IF(BX175=1,                  IF(BQ175&lt;=AZ49,     1,              2),                    IF(BX175=2,                  IF(BQ175&lt;=BG49,         1,              2),                                                                                                                                 IF(H15="Imperial",          IF(BQ175&lt;=((2*(BB103+(((AZ99*(H55-(H45/2))*(AZ101+H55))/1728)*(H33/100))+(BV175*(BG103+(((BE99*(H55-(H45/2))*BE102)/1728)*(H33/100))))))),          1,             2),                                                                                                                               IF(BQ175&lt;=((2*(BB103+(((AZ99*(H55-(H45/2))*(AZ101+H55))/1000000000)*(H33/100))+(BV175*(BG103+(((BE99*(H55-(H45/2))*BE102)/1000000000)*(H33/100))))))),             1,             2)))))</f>
        <v>1</v>
      </c>
      <c r="BU182" s="305">
        <f>IF(BV2=1,                0,            IF(BQ175&lt;=(2*(BQ182+BR182)),                   BT182,               IF(BX175=1,              (ROUNDUP((BQ175-(2*(BQ182+BR182)))/(BH55),0))+2,                                                                                       IF(BX175=2,                    (ROUNDUP((BQ175-(2*(BQ182+BR182)))/(2*BC103),0)+2),            (ROUNDUP((BQ175-(2*(BQ182+BR182)))/((BV175*BH103)+(2*BC103)),0)+2)))))</f>
        <v>1</v>
      </c>
      <c r="BV182" s="305"/>
      <c r="BW182" s="341"/>
      <c r="BX182" s="341"/>
      <c r="BY182" s="341"/>
      <c r="BZ182" s="276"/>
      <c r="CA182" s="276"/>
      <c r="CB182" s="235"/>
      <c r="CC182" s="235"/>
      <c r="CD182" s="8"/>
      <c r="CE182" s="8"/>
      <c r="CF182" s="8"/>
      <c r="CG182" s="8"/>
      <c r="CH182" s="8"/>
      <c r="CI182" s="12"/>
      <c r="CJ182" s="12"/>
      <c r="CK182" s="12"/>
      <c r="CL182" s="3"/>
      <c r="CM182" s="15"/>
      <c r="CN182" s="15"/>
      <c r="CO182" s="15"/>
      <c r="CP182" s="15"/>
    </row>
    <row r="183" spans="2:94" x14ac:dyDescent="0.25">
      <c r="B183" s="171"/>
      <c r="C183" s="171"/>
      <c r="D183" s="171"/>
      <c r="E183" s="171"/>
      <c r="F183" s="171"/>
      <c r="G183" s="171"/>
      <c r="H183" s="171"/>
      <c r="I183" s="171"/>
      <c r="J183" s="171"/>
      <c r="K183" s="171"/>
      <c r="L183" s="171"/>
      <c r="M183" s="171"/>
      <c r="N183" s="171"/>
      <c r="O183" s="171"/>
      <c r="P183" s="171"/>
      <c r="Q183" s="171"/>
      <c r="AU183" s="163"/>
      <c r="AV183" s="163"/>
      <c r="AW183" s="214"/>
      <c r="AX183" s="214"/>
      <c r="AY183" s="214"/>
      <c r="AZ183" s="214"/>
      <c r="BA183" s="214"/>
      <c r="BB183" s="214"/>
      <c r="BC183" s="214"/>
      <c r="BD183" s="214"/>
      <c r="BE183" s="214"/>
      <c r="BF183" s="214"/>
      <c r="BG183" s="214"/>
      <c r="BH183" s="214"/>
      <c r="BI183" s="163"/>
      <c r="BJ183" s="163"/>
      <c r="BK183" s="302"/>
      <c r="BL183" s="353"/>
      <c r="BM183" s="302"/>
      <c r="BN183" s="302"/>
      <c r="BO183" s="302"/>
      <c r="BP183" s="163"/>
      <c r="BQ183" s="305"/>
      <c r="BR183" s="305"/>
      <c r="BS183" s="305"/>
      <c r="BT183" s="305"/>
      <c r="BU183" s="305"/>
      <c r="BV183" s="305"/>
      <c r="BW183" s="341"/>
      <c r="BX183" s="341"/>
      <c r="BY183" s="341"/>
      <c r="BZ183" s="276"/>
      <c r="CA183" s="276"/>
      <c r="CB183" s="265"/>
      <c r="CC183" s="265"/>
      <c r="CD183" s="12"/>
      <c r="CE183" s="12"/>
      <c r="CF183" s="12"/>
      <c r="CG183" s="12"/>
      <c r="CH183" s="36"/>
      <c r="CI183" s="12"/>
      <c r="CJ183" s="12"/>
      <c r="CK183" s="12"/>
      <c r="CL183" s="3"/>
      <c r="CM183" s="15"/>
      <c r="CN183" s="15"/>
      <c r="CO183" s="15"/>
      <c r="CP183" s="15"/>
    </row>
    <row r="184" spans="2:94" x14ac:dyDescent="0.25">
      <c r="B184" s="171"/>
      <c r="C184" s="171"/>
      <c r="D184" s="171"/>
      <c r="E184" s="171"/>
      <c r="F184" s="171"/>
      <c r="G184" s="171"/>
      <c r="H184" s="171"/>
      <c r="I184" s="171"/>
      <c r="J184" s="171"/>
      <c r="K184" s="171"/>
      <c r="L184" s="171"/>
      <c r="M184" s="171"/>
      <c r="N184" s="171"/>
      <c r="O184" s="171"/>
      <c r="P184" s="171"/>
      <c r="Q184" s="171"/>
      <c r="AU184" s="163"/>
      <c r="AV184" s="163"/>
      <c r="AW184" s="214"/>
      <c r="AX184" s="206"/>
      <c r="AY184" s="206"/>
      <c r="AZ184" s="206"/>
      <c r="BA184" s="206"/>
      <c r="BB184" s="206"/>
      <c r="BC184" s="214"/>
      <c r="BD184" s="214"/>
      <c r="BE184" s="214"/>
      <c r="BF184" s="214"/>
      <c r="BG184" s="214"/>
      <c r="BH184" s="214"/>
      <c r="BI184" s="163"/>
      <c r="BJ184" s="163"/>
      <c r="BK184" s="302"/>
      <c r="BL184" s="353"/>
      <c r="BM184" s="302"/>
      <c r="BN184" s="302"/>
      <c r="BO184" s="302"/>
      <c r="BP184" s="163"/>
      <c r="BQ184" s="305" t="s">
        <v>231</v>
      </c>
      <c r="BR184" s="305"/>
      <c r="BS184" s="305"/>
      <c r="BT184" s="305"/>
      <c r="BU184" s="305"/>
      <c r="BV184" s="305"/>
      <c r="BW184" s="305"/>
      <c r="BX184" s="305"/>
      <c r="BY184" s="305"/>
      <c r="BZ184" s="276"/>
      <c r="CA184" s="276"/>
      <c r="CB184" s="163"/>
      <c r="CC184" s="163"/>
      <c r="CD184" s="15"/>
      <c r="CE184" s="15"/>
      <c r="CF184" s="22"/>
      <c r="CG184" s="22"/>
      <c r="CH184" s="22"/>
      <c r="CI184" s="22"/>
      <c r="CJ184" s="22"/>
      <c r="CK184" s="22"/>
      <c r="CL184" s="22"/>
      <c r="CM184" s="22"/>
      <c r="CN184" s="22"/>
    </row>
    <row r="185" spans="2:94" x14ac:dyDescent="0.25">
      <c r="B185" s="171"/>
      <c r="C185" s="171"/>
      <c r="D185" s="171"/>
      <c r="E185" s="171"/>
      <c r="F185" s="171"/>
      <c r="G185" s="171"/>
      <c r="H185" s="171"/>
      <c r="I185" s="171"/>
      <c r="J185" s="171"/>
      <c r="K185" s="171"/>
      <c r="L185" s="171"/>
      <c r="M185" s="171"/>
      <c r="N185" s="171"/>
      <c r="O185" s="171"/>
      <c r="P185" s="171"/>
      <c r="Q185" s="171"/>
      <c r="AU185" s="163"/>
      <c r="AV185" s="163"/>
      <c r="AW185" s="206"/>
      <c r="AX185" s="206"/>
      <c r="AY185" s="206"/>
      <c r="AZ185" s="206"/>
      <c r="BA185" s="206"/>
      <c r="BB185" s="206"/>
      <c r="BC185" s="206"/>
      <c r="BD185" s="206"/>
      <c r="BE185" s="206"/>
      <c r="BF185" s="214"/>
      <c r="BG185" s="214"/>
      <c r="BH185" s="214"/>
      <c r="BI185" s="163"/>
      <c r="BJ185" s="163"/>
      <c r="BK185" s="302"/>
      <c r="BL185" s="247">
        <f>IF(H37&lt;4,       0,         IF(BT188=0,         0,          IF(BT193=0,          0,          BT188*BT193)))</f>
        <v>0</v>
      </c>
      <c r="BM185" s="248">
        <f>BL185*BF103</f>
        <v>0</v>
      </c>
      <c r="BN185" s="248">
        <f>BL185*BD103</f>
        <v>0</v>
      </c>
      <c r="BO185" s="242">
        <f>BM185+BN185</f>
        <v>0</v>
      </c>
      <c r="BP185" s="163"/>
      <c r="BQ185" s="343" t="s">
        <v>108</v>
      </c>
      <c r="BR185" s="343" t="s">
        <v>181</v>
      </c>
      <c r="BS185" s="343" t="s">
        <v>109</v>
      </c>
      <c r="BT185" s="344" t="s">
        <v>110</v>
      </c>
      <c r="BU185" s="344" t="s">
        <v>111</v>
      </c>
      <c r="BV185" s="344"/>
      <c r="BW185" s="344" t="s">
        <v>112</v>
      </c>
      <c r="BX185" s="305"/>
      <c r="BY185" s="343" t="s">
        <v>104</v>
      </c>
      <c r="BZ185" s="343"/>
      <c r="CA185" s="343"/>
      <c r="CB185" s="163"/>
      <c r="CC185" s="163"/>
      <c r="CD185" s="15"/>
      <c r="CE185" s="15"/>
      <c r="CF185" s="22"/>
      <c r="CG185" s="22"/>
      <c r="CH185" s="22"/>
      <c r="CI185" s="22"/>
      <c r="CJ185" s="22"/>
      <c r="CK185" s="22"/>
      <c r="CL185" s="22"/>
      <c r="CM185" s="22"/>
      <c r="CN185" s="22"/>
    </row>
    <row r="186" spans="2:94" ht="23.25" x14ac:dyDescent="0.25">
      <c r="B186" s="171"/>
      <c r="C186" s="171"/>
      <c r="D186" s="171"/>
      <c r="E186" s="171"/>
      <c r="F186" s="171"/>
      <c r="G186" s="171"/>
      <c r="H186" s="171"/>
      <c r="I186" s="171"/>
      <c r="J186" s="171"/>
      <c r="K186" s="171"/>
      <c r="L186" s="171"/>
      <c r="M186" s="171"/>
      <c r="N186" s="171"/>
      <c r="O186" s="171"/>
      <c r="P186" s="171"/>
      <c r="Q186" s="171"/>
      <c r="AU186" s="163"/>
      <c r="AV186" s="163"/>
      <c r="AW186" s="206"/>
      <c r="AX186" s="215"/>
      <c r="AY186" s="215"/>
      <c r="AZ186" s="215"/>
      <c r="BA186" s="215"/>
      <c r="BB186" s="215"/>
      <c r="BC186" s="206"/>
      <c r="BD186" s="206"/>
      <c r="BE186" s="206"/>
      <c r="BF186" s="206"/>
      <c r="BG186" s="206"/>
      <c r="BH186" s="206"/>
      <c r="BI186" s="163"/>
      <c r="BJ186" s="163"/>
      <c r="BK186" s="264" t="s">
        <v>193</v>
      </c>
      <c r="BL186" s="290">
        <f>BL173+BL177+BL181+BL185</f>
        <v>0</v>
      </c>
      <c r="BM186" s="290">
        <f>BM173+BM177+BM181+BM185</f>
        <v>0</v>
      </c>
      <c r="BN186" s="290">
        <f>BN173+BN177+BN181+BN185</f>
        <v>0</v>
      </c>
      <c r="BO186" s="290">
        <f>BO173+BO177+BO181+BO185</f>
        <v>0</v>
      </c>
      <c r="BP186" s="163"/>
      <c r="BQ186" s="343"/>
      <c r="BR186" s="343"/>
      <c r="BS186" s="343"/>
      <c r="BT186" s="344"/>
      <c r="BU186" s="344"/>
      <c r="BV186" s="344"/>
      <c r="BW186" s="344"/>
      <c r="BX186" s="305"/>
      <c r="BY186" s="343"/>
      <c r="BZ186" s="343"/>
      <c r="CA186" s="343"/>
      <c r="CB186" s="163"/>
      <c r="CC186" s="163"/>
      <c r="CD186" s="15"/>
      <c r="CE186" s="15"/>
      <c r="CF186" s="22"/>
      <c r="CG186" s="22"/>
      <c r="CH186" s="22"/>
      <c r="CI186" s="22"/>
      <c r="CJ186" s="22"/>
      <c r="CK186" s="22"/>
      <c r="CL186" s="22"/>
      <c r="CM186" s="22"/>
      <c r="CN186" s="22"/>
    </row>
    <row r="187" spans="2:94" ht="23.25" x14ac:dyDescent="0.25">
      <c r="B187" s="171"/>
      <c r="C187" s="171"/>
      <c r="D187" s="171"/>
      <c r="E187" s="171"/>
      <c r="F187" s="171"/>
      <c r="G187" s="171"/>
      <c r="H187" s="171"/>
      <c r="I187" s="171"/>
      <c r="J187" s="171"/>
      <c r="K187" s="171"/>
      <c r="L187" s="171"/>
      <c r="M187" s="171"/>
      <c r="N187" s="171"/>
      <c r="O187" s="171"/>
      <c r="P187" s="171"/>
      <c r="Q187" s="171"/>
      <c r="AU187" s="163"/>
      <c r="AV187" s="163"/>
      <c r="AW187" s="215"/>
      <c r="AX187" s="215"/>
      <c r="AY187" s="215"/>
      <c r="AZ187" s="215"/>
      <c r="BA187" s="215"/>
      <c r="BB187" s="215"/>
      <c r="BC187" s="215"/>
      <c r="BD187" s="215"/>
      <c r="BE187" s="215"/>
      <c r="BF187" s="206"/>
      <c r="BG187" s="206"/>
      <c r="BH187" s="206"/>
      <c r="BI187" s="163"/>
      <c r="BJ187" s="163"/>
      <c r="BK187" s="252"/>
      <c r="BL187" s="247"/>
      <c r="BM187" s="248"/>
      <c r="BN187" s="248"/>
      <c r="BO187" s="242"/>
      <c r="BP187" s="163"/>
      <c r="BQ187" s="343"/>
      <c r="BR187" s="343"/>
      <c r="BS187" s="343"/>
      <c r="BT187" s="344"/>
      <c r="BU187" s="344"/>
      <c r="BV187" s="344"/>
      <c r="BW187" s="344"/>
      <c r="BX187" s="305"/>
      <c r="BY187" s="343" t="str">
        <f>IF(BV2=1,      "Maximum Number of Rows",                 "Minimum Number of Rows")</f>
        <v>Minimum Number of Rows</v>
      </c>
      <c r="BZ187" s="343"/>
      <c r="CA187" s="344" t="str">
        <f>IF(BV2=1,             "N/A",                "Maximum Number of Chambers per Full Row")</f>
        <v>Maximum Number of Chambers per Full Row</v>
      </c>
      <c r="CB187" s="163"/>
      <c r="CC187" s="163"/>
      <c r="CD187" s="15"/>
      <c r="CE187" s="15"/>
      <c r="CF187" s="22"/>
      <c r="CG187" s="22"/>
      <c r="CH187" s="22"/>
      <c r="CI187" s="22"/>
      <c r="CJ187" s="22"/>
      <c r="CK187" s="22"/>
      <c r="CL187" s="22"/>
      <c r="CM187" s="22"/>
      <c r="CN187" s="22"/>
    </row>
    <row r="188" spans="2:94" ht="23.25" x14ac:dyDescent="0.25">
      <c r="B188" s="171"/>
      <c r="C188" s="171"/>
      <c r="D188" s="171"/>
      <c r="E188" s="171"/>
      <c r="F188" s="171"/>
      <c r="G188" s="171"/>
      <c r="H188" s="171"/>
      <c r="I188" s="171"/>
      <c r="J188" s="171"/>
      <c r="K188" s="171"/>
      <c r="L188" s="171"/>
      <c r="M188" s="171"/>
      <c r="N188" s="171"/>
      <c r="O188" s="171"/>
      <c r="P188" s="171"/>
      <c r="Q188" s="171"/>
      <c r="AU188" s="163"/>
      <c r="AV188" s="163"/>
      <c r="AW188" s="215"/>
      <c r="AX188" s="220"/>
      <c r="AY188" s="220"/>
      <c r="AZ188" s="220"/>
      <c r="BA188" s="220"/>
      <c r="BB188" s="220"/>
      <c r="BC188" s="215"/>
      <c r="BD188" s="215"/>
      <c r="BE188" s="215"/>
      <c r="BF188" s="215"/>
      <c r="BG188" s="215"/>
      <c r="BH188" s="215"/>
      <c r="BI188" s="163"/>
      <c r="BJ188" s="163"/>
      <c r="BK188" s="349" t="str">
        <f>IF($H$23=1,"Max suggested number of rows","Min suggested number of rows")</f>
        <v>Min suggested number of rows</v>
      </c>
      <c r="BL188" s="349"/>
      <c r="BM188" s="349"/>
      <c r="BN188" s="349"/>
      <c r="BO188" s="248">
        <f>IF(H37&lt;4,    0,       IF(BV2=1,        BX175,           BU182))</f>
        <v>0</v>
      </c>
      <c r="BP188" s="163"/>
      <c r="BQ188" s="305">
        <f>BQ175</f>
        <v>0</v>
      </c>
      <c r="BR188" s="305">
        <f>BO189</f>
        <v>0</v>
      </c>
      <c r="BS188" s="305">
        <f>IF(BR188=1,       1,        2)</f>
        <v>2</v>
      </c>
      <c r="BT188" s="341">
        <f>IF(BR188&lt;3,      0,        BR188-2)</f>
        <v>0</v>
      </c>
      <c r="BU188" s="341">
        <f>IF(BR188=1,       IF(BQ188&lt;=AZ49,       AZ49,      BG49/2),                     IF(BR188=2,       IF(BQ188&lt;=BD49,        BD49,   2*BB103),                  IF(BQ188&lt;=(BD49+(BT188*BH55)),                          BD49,         (2*BB103))))</f>
        <v>98.88000000000001</v>
      </c>
      <c r="BV188" s="341"/>
      <c r="BW188" s="341">
        <f>IF(BT188=0,           0,         IF((BQ188-BU188)&lt;=(BT188*BH55),        BT188*BH55,  BT188*BC103))</f>
        <v>0</v>
      </c>
      <c r="BX188" s="305"/>
      <c r="BY188" s="343"/>
      <c r="BZ188" s="343"/>
      <c r="CA188" s="344"/>
      <c r="CB188" s="163"/>
      <c r="CC188" s="163"/>
      <c r="CD188" s="15"/>
      <c r="CE188" s="15"/>
      <c r="CF188" s="22"/>
      <c r="CG188" s="22"/>
      <c r="CH188" s="22"/>
      <c r="CI188" s="22"/>
      <c r="CJ188" s="22"/>
      <c r="CK188" s="22"/>
      <c r="CL188" s="22"/>
      <c r="CM188" s="22"/>
      <c r="CN188" s="22"/>
    </row>
    <row r="189" spans="2:94" ht="23.25" x14ac:dyDescent="0.25">
      <c r="B189" s="171"/>
      <c r="C189" s="171"/>
      <c r="D189" s="171"/>
      <c r="E189" s="171"/>
      <c r="F189" s="171"/>
      <c r="G189" s="171"/>
      <c r="H189" s="171"/>
      <c r="I189" s="171"/>
      <c r="J189" s="171"/>
      <c r="K189" s="171"/>
      <c r="L189" s="171"/>
      <c r="M189" s="171"/>
      <c r="N189" s="171"/>
      <c r="O189" s="171"/>
      <c r="P189" s="171"/>
      <c r="Q189" s="171"/>
      <c r="AU189" s="163"/>
      <c r="AV189" s="163"/>
      <c r="AW189" s="220"/>
      <c r="AX189" s="226"/>
      <c r="AY189" s="226"/>
      <c r="AZ189" s="226"/>
      <c r="BA189" s="214"/>
      <c r="BB189" s="214"/>
      <c r="BC189" s="220"/>
      <c r="BD189" s="220"/>
      <c r="BE189" s="220"/>
      <c r="BF189" s="215"/>
      <c r="BG189" s="215"/>
      <c r="BH189" s="215"/>
      <c r="BI189" s="163"/>
      <c r="BJ189" s="163"/>
      <c r="BK189" s="281" t="s">
        <v>45</v>
      </c>
      <c r="BL189" s="281"/>
      <c r="BM189" s="281"/>
      <c r="BN189" s="281"/>
      <c r="BO189" s="248">
        <f>IF(H37&lt;4,        0,          H41)</f>
        <v>0</v>
      </c>
      <c r="BP189" s="163"/>
      <c r="BQ189" s="305"/>
      <c r="BR189" s="305"/>
      <c r="BS189" s="305"/>
      <c r="BT189" s="341"/>
      <c r="BU189" s="341"/>
      <c r="BV189" s="341"/>
      <c r="BW189" s="341"/>
      <c r="BX189" s="305"/>
      <c r="BY189" s="305">
        <f>IF(BV2=1,            BX175,        BU182)</f>
        <v>1</v>
      </c>
      <c r="BZ189" s="305"/>
      <c r="CA189" s="309">
        <f>IF(BV2=1,         0,                             BX175)</f>
        <v>1</v>
      </c>
      <c r="CB189" s="163"/>
      <c r="CC189" s="163"/>
      <c r="CD189" s="15"/>
      <c r="CE189" s="15"/>
      <c r="CF189" s="22"/>
      <c r="CG189" s="22"/>
      <c r="CH189" s="22"/>
      <c r="CI189" s="22"/>
      <c r="CJ189" s="22"/>
      <c r="CK189" s="22"/>
      <c r="CL189" s="22"/>
      <c r="CM189" s="22"/>
      <c r="CN189" s="22"/>
    </row>
    <row r="190" spans="2:94" ht="15.75" x14ac:dyDescent="0.25">
      <c r="B190" s="171"/>
      <c r="C190" s="171"/>
      <c r="D190" s="171"/>
      <c r="E190" s="171"/>
      <c r="F190" s="171"/>
      <c r="G190" s="171"/>
      <c r="H190" s="171"/>
      <c r="I190" s="171"/>
      <c r="J190" s="171"/>
      <c r="K190" s="171"/>
      <c r="L190" s="171"/>
      <c r="M190" s="171"/>
      <c r="N190" s="171"/>
      <c r="O190" s="171"/>
      <c r="P190" s="171"/>
      <c r="Q190" s="171"/>
      <c r="AU190" s="163"/>
      <c r="AV190" s="163"/>
      <c r="AW190" s="226"/>
      <c r="AX190" s="206"/>
      <c r="AY190" s="254"/>
      <c r="AZ190" s="254"/>
      <c r="BA190" s="206"/>
      <c r="BB190" s="206"/>
      <c r="BC190" s="214"/>
      <c r="BD190" s="214"/>
      <c r="BE190" s="214"/>
      <c r="BF190" s="220"/>
      <c r="BG190" s="220"/>
      <c r="BH190" s="220"/>
      <c r="BI190" s="163"/>
      <c r="BJ190" s="163"/>
      <c r="BK190" s="281" t="str">
        <f>IF($H$23=1,"Min number of chambers per full Row","Max number of chambers per Row")</f>
        <v>Max number of chambers per Row</v>
      </c>
      <c r="BL190" s="281"/>
      <c r="BM190" s="281"/>
      <c r="BN190" s="281"/>
      <c r="BO190" s="248">
        <f>IF(H37&lt;4,         0,          BV193)</f>
        <v>0</v>
      </c>
      <c r="BP190" s="163"/>
      <c r="BQ190" s="341" t="s">
        <v>123</v>
      </c>
      <c r="BR190" s="341"/>
      <c r="BS190" s="344" t="s">
        <v>113</v>
      </c>
      <c r="BT190" s="344" t="s">
        <v>114</v>
      </c>
      <c r="BU190" s="344"/>
      <c r="BV190" s="343" t="s">
        <v>115</v>
      </c>
      <c r="BW190" s="343"/>
      <c r="BX190" s="305"/>
      <c r="BY190" s="305"/>
      <c r="BZ190" s="305"/>
      <c r="CA190" s="309"/>
      <c r="CB190" s="163"/>
      <c r="CC190" s="163"/>
      <c r="CD190" s="15"/>
      <c r="CE190" s="15"/>
      <c r="CF190" s="22"/>
      <c r="CG190" s="22"/>
      <c r="CH190" s="22"/>
      <c r="CI190" s="22"/>
      <c r="CJ190" s="22"/>
      <c r="CK190" s="22"/>
      <c r="CL190" s="22"/>
      <c r="CM190" s="22"/>
      <c r="CN190" s="22"/>
    </row>
    <row r="191" spans="2:94" x14ac:dyDescent="0.25">
      <c r="B191" s="171"/>
      <c r="C191" s="171"/>
      <c r="D191" s="171"/>
      <c r="E191" s="171"/>
      <c r="F191" s="171"/>
      <c r="G191" s="171"/>
      <c r="H191" s="171"/>
      <c r="I191" s="171"/>
      <c r="J191" s="171"/>
      <c r="K191" s="171"/>
      <c r="L191" s="171"/>
      <c r="M191" s="171"/>
      <c r="N191" s="171"/>
      <c r="O191" s="171"/>
      <c r="P191" s="171"/>
      <c r="Q191" s="171"/>
      <c r="AU191" s="163"/>
      <c r="AV191" s="163"/>
      <c r="AW191" s="206"/>
      <c r="AX191" s="206"/>
      <c r="AY191" s="254"/>
      <c r="AZ191" s="254"/>
      <c r="BA191" s="206"/>
      <c r="BB191" s="206"/>
      <c r="BC191" s="249"/>
      <c r="BD191" s="249"/>
      <c r="BE191" s="249"/>
      <c r="BF191" s="214"/>
      <c r="BG191" s="214"/>
      <c r="BH191" s="214"/>
      <c r="BI191" s="163"/>
      <c r="BJ191" s="163"/>
      <c r="BK191" s="281" t="s">
        <v>42</v>
      </c>
      <c r="BL191" s="281"/>
      <c r="BM191" s="281"/>
      <c r="BN191" s="281"/>
      <c r="BO191" s="248">
        <f>IF(H37&lt;4,0,"all")</f>
        <v>0</v>
      </c>
      <c r="BP191" s="163"/>
      <c r="BQ191" s="341"/>
      <c r="BR191" s="341"/>
      <c r="BS191" s="344"/>
      <c r="BT191" s="344"/>
      <c r="BU191" s="344"/>
      <c r="BV191" s="343"/>
      <c r="BW191" s="343"/>
      <c r="BX191" s="305"/>
      <c r="BY191" s="343" t="s">
        <v>105</v>
      </c>
      <c r="BZ191" s="343"/>
      <c r="CA191" s="343"/>
      <c r="CB191" s="163"/>
      <c r="CC191" s="163"/>
      <c r="CD191" s="15"/>
      <c r="CE191" s="15"/>
      <c r="CF191" s="22"/>
      <c r="CG191" s="22"/>
      <c r="CH191" s="22"/>
      <c r="CI191" s="22"/>
      <c r="CJ191" s="22"/>
      <c r="CK191" s="22"/>
      <c r="CL191" s="22"/>
      <c r="CM191" s="22"/>
      <c r="CN191" s="22"/>
    </row>
    <row r="192" spans="2:94" ht="15.75" x14ac:dyDescent="0.25">
      <c r="B192" s="171"/>
      <c r="C192" s="171"/>
      <c r="D192" s="171"/>
      <c r="E192" s="171"/>
      <c r="F192" s="171"/>
      <c r="G192" s="171"/>
      <c r="H192" s="171"/>
      <c r="I192" s="171"/>
      <c r="J192" s="171"/>
      <c r="K192" s="171"/>
      <c r="L192" s="171"/>
      <c r="M192" s="171"/>
      <c r="N192" s="171"/>
      <c r="O192" s="171"/>
      <c r="P192" s="171"/>
      <c r="Q192" s="171"/>
      <c r="AU192" s="163"/>
      <c r="AV192" s="163"/>
      <c r="AW192" s="206"/>
      <c r="AX192" s="214"/>
      <c r="AY192" s="214"/>
      <c r="AZ192" s="214"/>
      <c r="BA192" s="214"/>
      <c r="BB192" s="214"/>
      <c r="BC192" s="249"/>
      <c r="BD192" s="249"/>
      <c r="BE192" s="249"/>
      <c r="BF192" s="249"/>
      <c r="BG192" s="249"/>
      <c r="BH192" s="249"/>
      <c r="BI192" s="163"/>
      <c r="BJ192" s="163"/>
      <c r="BK192" s="208" t="s">
        <v>159</v>
      </c>
      <c r="BL192" s="208"/>
      <c r="BM192" s="208"/>
      <c r="BN192" s="208"/>
      <c r="BO192" s="291">
        <f>BO173+BO177+BO181+BO185</f>
        <v>0</v>
      </c>
      <c r="BP192" s="163"/>
      <c r="BQ192" s="341"/>
      <c r="BR192" s="341"/>
      <c r="BS192" s="344"/>
      <c r="BT192" s="344"/>
      <c r="BU192" s="344"/>
      <c r="BV192" s="343"/>
      <c r="BW192" s="343"/>
      <c r="BX192" s="305"/>
      <c r="BY192" s="343"/>
      <c r="BZ192" s="343"/>
      <c r="CA192" s="343"/>
      <c r="CB192" s="163"/>
      <c r="CC192" s="163"/>
      <c r="CD192" s="15"/>
      <c r="CE192" s="15"/>
      <c r="CF192" s="22"/>
      <c r="CG192" s="22"/>
      <c r="CH192" s="22"/>
      <c r="CI192" s="22"/>
      <c r="CJ192" s="22"/>
      <c r="CK192" s="22"/>
      <c r="CL192" s="22"/>
      <c r="CM192" s="22"/>
      <c r="CN192" s="22"/>
    </row>
    <row r="193" spans="2:92" x14ac:dyDescent="0.25">
      <c r="B193" s="171"/>
      <c r="C193" s="171"/>
      <c r="D193" s="171"/>
      <c r="E193" s="171"/>
      <c r="F193" s="171"/>
      <c r="G193" s="171"/>
      <c r="H193" s="171"/>
      <c r="I193" s="171"/>
      <c r="J193" s="171"/>
      <c r="K193" s="171"/>
      <c r="L193" s="171"/>
      <c r="M193" s="171"/>
      <c r="N193" s="171"/>
      <c r="O193" s="171"/>
      <c r="P193" s="171"/>
      <c r="Q193" s="171"/>
      <c r="AU193" s="163"/>
      <c r="AV193" s="163"/>
      <c r="AW193" s="214"/>
      <c r="AX193" s="214"/>
      <c r="AY193" s="214"/>
      <c r="AZ193" s="214"/>
      <c r="BA193" s="214"/>
      <c r="BB193" s="214"/>
      <c r="BC193" s="214"/>
      <c r="BD193" s="214"/>
      <c r="BE193" s="214"/>
      <c r="BF193" s="249"/>
      <c r="BG193" s="249"/>
      <c r="BH193" s="249"/>
      <c r="BI193" s="163"/>
      <c r="BJ193" s="163"/>
      <c r="BK193" s="293" t="s">
        <v>43</v>
      </c>
      <c r="BL193" s="293"/>
      <c r="BM193" s="293"/>
      <c r="BN193" s="293"/>
      <c r="BO193" s="246">
        <f>IF(H37&lt;4,      0,        IF(H15="Imperial",       IF(BO190=1,           ((AZ5+H55+H55)/12),                    IF(BO190=2,              (2*AZ102)/12,       ((((BO190-2)*BE102)+(2*AZ102))/12))),                                                                      IF(BO190=1,                                                                                           ((AZ5+H55+H55)/1000),                   IF(BO190=2,      ((2*AZ102)/1000),         ((((BO190-2)*BE102)+(2*AZ102))/1000)))))</f>
        <v>0</v>
      </c>
      <c r="BP193" s="163"/>
      <c r="BQ193" s="341"/>
      <c r="BR193" s="341"/>
      <c r="BS193" s="305">
        <f>IF(BR188=1,          IF(BQ188&lt;=AZ49,          1,         2),                  IF(BR188=2,      IF(BQ188&lt;=BD49,       1,     2),          IF(BQ188&lt;=(BD49+(BT188*BH55)),        1,      2)))</f>
        <v>1</v>
      </c>
      <c r="BT193" s="305">
        <f>IF(BQ188&lt;=(2*(BU188+BW188)),     0,        IF(AND(BR188=1,BQ188&lt;=BG49),0,      IF(H15="Imperial",           IF(BR188=1,               ROUNDUP((BQ188-(BG49))/(BG103+((((H55-(H45/2))*BE99*BE102)/1728)*(H33/100))),0),                                                                                                                                         IF(BR188=2,             ROUNDUP((BQ188-(2*BU188))/(2*BG103),0),            ROUNDUP((BQ188-(2*(BU188+BW188)))/((2*BG103)+(BT188*BH103)),0))),                                                                                                                                                                                                           IF(BR188=1,                        ROUNDUP((BQ188-(BG49))/(BG103+((((H55-(H45/2))*BE99*BE102)/1000000000)*(H33/100))),0),                                                                                                                                                             IF(BR188=2,                        ROUNDUP((BQ188-(2*BU188))/(2*BG103),0),          ROUNDUP((BQ188-(2*(BU188+BW188)))/((2*BG103)+(BT188*BH103)),0))))))</f>
        <v>0</v>
      </c>
      <c r="BU193" s="305"/>
      <c r="BV193" s="305">
        <f>BS193+BT193</f>
        <v>1</v>
      </c>
      <c r="BW193" s="305"/>
      <c r="BX193" s="305"/>
      <c r="BY193" s="344" t="s">
        <v>106</v>
      </c>
      <c r="BZ193" s="344"/>
      <c r="CA193" s="308" t="s">
        <v>107</v>
      </c>
      <c r="CB193" s="163"/>
      <c r="CC193" s="163"/>
      <c r="CD193" s="15"/>
      <c r="CE193" s="15"/>
      <c r="CF193" s="22"/>
      <c r="CG193" s="22"/>
      <c r="CH193" s="22"/>
      <c r="CI193" s="22"/>
      <c r="CJ193" s="22"/>
      <c r="CK193" s="22"/>
      <c r="CL193" s="22"/>
      <c r="CM193" s="22"/>
      <c r="CN193" s="22"/>
    </row>
    <row r="194" spans="2:92" x14ac:dyDescent="0.25">
      <c r="B194" s="171"/>
      <c r="C194" s="171"/>
      <c r="D194" s="171"/>
      <c r="E194" s="171"/>
      <c r="F194" s="171"/>
      <c r="G194" s="171"/>
      <c r="H194" s="171"/>
      <c r="I194" s="171"/>
      <c r="J194" s="171"/>
      <c r="K194" s="171"/>
      <c r="L194" s="171"/>
      <c r="M194" s="171"/>
      <c r="N194" s="171"/>
      <c r="O194" s="171"/>
      <c r="P194" s="171"/>
      <c r="Q194" s="171"/>
      <c r="AU194" s="163"/>
      <c r="AV194" s="163"/>
      <c r="AW194" s="214"/>
      <c r="AX194" s="206"/>
      <c r="AY194" s="206"/>
      <c r="AZ194" s="206"/>
      <c r="BA194" s="206"/>
      <c r="BB194" s="206"/>
      <c r="BC194" s="214"/>
      <c r="BD194" s="214"/>
      <c r="BE194" s="214"/>
      <c r="BF194" s="214"/>
      <c r="BG194" s="249"/>
      <c r="BH194" s="249"/>
      <c r="BI194" s="163"/>
      <c r="BJ194" s="163"/>
      <c r="BK194" s="361" t="s">
        <v>44</v>
      </c>
      <c r="BL194" s="361"/>
      <c r="BM194" s="361"/>
      <c r="BN194" s="361"/>
      <c r="BO194" s="242">
        <f>IF(H37&lt;4,           0,          IF(H15="Imperial",          IF(BO189=1,       ((AZ101+H55-(H45/2))/12),              IF(BO189=2,              (2*AZ101)/12,         ((((BO189-2)*BA101)+(2*AZ101))/12))),                                                               IF(BO189=1,                                                                                            (AZ101+H55-(H45/2))/1000,               IF(BO189=2,         ((2*AZ101)/1000),       ((((BO189-2)*BA101)+(2*AZ101))/1000)))))</f>
        <v>0</v>
      </c>
      <c r="BP194" s="163"/>
      <c r="BQ194" s="341"/>
      <c r="BR194" s="341"/>
      <c r="BS194" s="305"/>
      <c r="BT194" s="305"/>
      <c r="BU194" s="305"/>
      <c r="BV194" s="305"/>
      <c r="BW194" s="305"/>
      <c r="BX194" s="305"/>
      <c r="BY194" s="344"/>
      <c r="BZ194" s="344"/>
      <c r="CA194" s="308"/>
      <c r="CB194" s="163"/>
      <c r="CC194" s="163"/>
      <c r="CD194" s="15"/>
      <c r="CE194" s="15"/>
      <c r="CF194" s="22"/>
      <c r="CG194" s="22"/>
      <c r="CH194" s="22"/>
      <c r="CI194" s="22"/>
      <c r="CJ194" s="22"/>
      <c r="CK194" s="22"/>
      <c r="CL194" s="22"/>
      <c r="CM194" s="22"/>
      <c r="CN194" s="22"/>
    </row>
    <row r="195" spans="2:92" ht="14.45" customHeight="1" x14ac:dyDescent="0.25">
      <c r="B195" s="171"/>
      <c r="C195" s="171"/>
      <c r="D195" s="171"/>
      <c r="E195" s="171"/>
      <c r="F195" s="171"/>
      <c r="G195" s="171"/>
      <c r="H195" s="171"/>
      <c r="I195" s="171"/>
      <c r="J195" s="171"/>
      <c r="K195" s="171"/>
      <c r="L195" s="171"/>
      <c r="M195" s="171"/>
      <c r="N195" s="171"/>
      <c r="O195" s="171"/>
      <c r="P195" s="171"/>
      <c r="Q195" s="171"/>
      <c r="AU195" s="163"/>
      <c r="AV195" s="163"/>
      <c r="AW195" s="206"/>
      <c r="AX195" s="206"/>
      <c r="AY195" s="206"/>
      <c r="AZ195" s="206"/>
      <c r="BA195" s="206"/>
      <c r="BB195" s="206"/>
      <c r="BC195" s="206"/>
      <c r="BD195" s="206"/>
      <c r="BE195" s="206"/>
      <c r="BF195" s="214"/>
      <c r="BG195" s="249"/>
      <c r="BH195" s="249"/>
      <c r="BI195" s="163"/>
      <c r="BJ195" s="163"/>
      <c r="BK195" s="262" t="s">
        <v>227</v>
      </c>
      <c r="BL195" s="263">
        <f>BM173+BM177+BM181+BM185</f>
        <v>0</v>
      </c>
      <c r="BM195" s="424" t="s">
        <v>228</v>
      </c>
      <c r="BN195" s="424"/>
      <c r="BO195" s="246">
        <f>BN173+BN177+BN181+BN185</f>
        <v>0</v>
      </c>
      <c r="BP195" s="163"/>
      <c r="BQ195" s="260"/>
      <c r="BR195" s="260"/>
      <c r="BS195" s="243"/>
      <c r="BT195" s="243"/>
      <c r="BU195" s="243"/>
      <c r="BV195" s="243"/>
      <c r="BW195" s="243"/>
      <c r="BX195" s="305"/>
      <c r="BY195" s="305">
        <f>IF(H37&lt;4,      0,          H80)</f>
        <v>0</v>
      </c>
      <c r="BZ195" s="305"/>
      <c r="CA195" s="309">
        <f>BV193</f>
        <v>1</v>
      </c>
      <c r="CB195" s="163"/>
      <c r="CC195" s="163"/>
      <c r="CD195" s="15"/>
      <c r="CE195" s="15"/>
      <c r="CF195" s="22"/>
      <c r="CG195" s="22"/>
      <c r="CH195" s="22"/>
      <c r="CI195" s="22"/>
      <c r="CJ195" s="22"/>
      <c r="CK195" s="22"/>
      <c r="CL195" s="22"/>
      <c r="CM195" s="22"/>
      <c r="CN195" s="22"/>
    </row>
    <row r="196" spans="2:92" x14ac:dyDescent="0.25">
      <c r="B196" s="171"/>
      <c r="C196" s="171"/>
      <c r="D196" s="171"/>
      <c r="E196" s="171"/>
      <c r="F196" s="171"/>
      <c r="G196" s="171"/>
      <c r="H196" s="171"/>
      <c r="I196" s="171"/>
      <c r="J196" s="171"/>
      <c r="K196" s="171"/>
      <c r="L196" s="171"/>
      <c r="M196" s="171"/>
      <c r="N196" s="171"/>
      <c r="O196" s="171"/>
      <c r="P196" s="171"/>
      <c r="Q196" s="171"/>
      <c r="AU196" s="163"/>
      <c r="AV196" s="163"/>
      <c r="AW196" s="206"/>
      <c r="AX196" s="214"/>
      <c r="AY196" s="214"/>
      <c r="AZ196" s="214"/>
      <c r="BA196" s="214"/>
      <c r="BB196" s="214"/>
      <c r="BC196" s="206"/>
      <c r="BD196" s="206"/>
      <c r="BE196" s="206"/>
      <c r="BF196" s="206"/>
      <c r="BG196" s="249"/>
      <c r="BH196" s="249"/>
      <c r="BI196" s="163"/>
      <c r="BJ196" s="163"/>
      <c r="BK196" s="263"/>
      <c r="BL196" s="263"/>
      <c r="BM196" s="263"/>
      <c r="BN196" s="263"/>
      <c r="BO196" s="248"/>
      <c r="BP196" s="163"/>
      <c r="BQ196" s="307" t="s">
        <v>154</v>
      </c>
      <c r="BR196" s="307"/>
      <c r="BS196" s="289">
        <f>BO189</f>
        <v>0</v>
      </c>
      <c r="BT196" s="243"/>
      <c r="BU196" s="243"/>
      <c r="BV196" s="243"/>
      <c r="BW196" s="243"/>
      <c r="BX196" s="305"/>
      <c r="BY196" s="305"/>
      <c r="BZ196" s="305"/>
      <c r="CA196" s="309"/>
      <c r="CB196" s="163"/>
      <c r="CC196" s="163"/>
      <c r="CD196" s="15"/>
      <c r="CE196" s="15"/>
      <c r="CF196" s="22"/>
      <c r="CG196" s="22"/>
      <c r="CH196" s="22"/>
      <c r="CI196" s="22"/>
      <c r="CJ196" s="22"/>
      <c r="CK196" s="22"/>
      <c r="CL196" s="22"/>
      <c r="CM196" s="22"/>
      <c r="CN196" s="22"/>
    </row>
    <row r="197" spans="2:92" x14ac:dyDescent="0.25">
      <c r="B197" s="171"/>
      <c r="C197" s="171"/>
      <c r="D197" s="171"/>
      <c r="E197" s="171"/>
      <c r="F197" s="171"/>
      <c r="G197" s="171"/>
      <c r="H197" s="171"/>
      <c r="I197" s="171"/>
      <c r="J197" s="171"/>
      <c r="K197" s="171"/>
      <c r="L197" s="171"/>
      <c r="M197" s="171"/>
      <c r="N197" s="171"/>
      <c r="O197" s="171"/>
      <c r="P197" s="171"/>
      <c r="Q197" s="171"/>
      <c r="AU197" s="163"/>
      <c r="AV197" s="163"/>
      <c r="AW197" s="214"/>
      <c r="AX197" s="214"/>
      <c r="AY197" s="214"/>
      <c r="AZ197" s="214"/>
      <c r="BA197" s="214"/>
      <c r="BB197" s="214"/>
      <c r="BC197" s="214"/>
      <c r="BD197" s="214"/>
      <c r="BE197" s="214"/>
      <c r="BF197" s="206"/>
      <c r="BG197" s="249"/>
      <c r="BH197" s="249"/>
      <c r="BI197" s="163"/>
      <c r="BJ197" s="163"/>
      <c r="BK197" s="240"/>
      <c r="BL197" s="294" t="s">
        <v>62</v>
      </c>
      <c r="BM197" s="294"/>
      <c r="BN197" s="294"/>
      <c r="BO197" s="212">
        <f>BL173+BL177+BL181+BL185</f>
        <v>0</v>
      </c>
      <c r="BP197" s="163"/>
      <c r="BQ197" s="307" t="s">
        <v>155</v>
      </c>
      <c r="BR197" s="307"/>
      <c r="BS197" s="289">
        <f>BV193</f>
        <v>1</v>
      </c>
      <c r="BT197" s="243"/>
      <c r="BU197" s="243"/>
      <c r="BV197" s="243"/>
      <c r="BW197" s="243"/>
      <c r="BX197" s="206"/>
      <c r="BY197" s="260"/>
      <c r="BZ197" s="260"/>
      <c r="CA197" s="243"/>
      <c r="CB197" s="163"/>
      <c r="CC197" s="163"/>
      <c r="CD197" s="15"/>
      <c r="CE197" s="15"/>
      <c r="CF197" s="22"/>
      <c r="CG197" s="22"/>
      <c r="CH197" s="22"/>
      <c r="CI197" s="22"/>
      <c r="CJ197" s="22"/>
      <c r="CK197" s="22"/>
      <c r="CL197" s="22"/>
      <c r="CM197" s="22"/>
      <c r="CN197" s="22"/>
    </row>
    <row r="198" spans="2:92" x14ac:dyDescent="0.25">
      <c r="B198" s="171"/>
      <c r="C198" s="171"/>
      <c r="D198" s="171"/>
      <c r="E198" s="171"/>
      <c r="F198" s="171"/>
      <c r="G198" s="171"/>
      <c r="H198" s="171"/>
      <c r="I198" s="171"/>
      <c r="J198" s="171"/>
      <c r="K198" s="171"/>
      <c r="L198" s="171"/>
      <c r="M198" s="171"/>
      <c r="N198" s="171"/>
      <c r="O198" s="171"/>
      <c r="P198" s="171"/>
      <c r="Q198" s="171"/>
      <c r="AU198" s="163"/>
      <c r="AV198" s="163"/>
      <c r="AW198" s="214"/>
      <c r="AX198" s="206"/>
      <c r="AY198" s="206"/>
      <c r="AZ198" s="206"/>
      <c r="BA198" s="206"/>
      <c r="BB198" s="206"/>
      <c r="BC198" s="214"/>
      <c r="BD198" s="214"/>
      <c r="BE198" s="214"/>
      <c r="BF198" s="214"/>
      <c r="BG198" s="214"/>
      <c r="BH198" s="214"/>
      <c r="BI198" s="163"/>
      <c r="BJ198" s="163"/>
      <c r="BK198" s="240"/>
      <c r="BL198" s="163"/>
      <c r="BM198" s="163"/>
      <c r="BN198" s="163"/>
      <c r="BO198" s="163"/>
      <c r="BP198" s="163"/>
      <c r="BQ198" s="169"/>
      <c r="BR198" s="169"/>
      <c r="BS198" s="243"/>
      <c r="BT198" s="243"/>
      <c r="BU198" s="243"/>
      <c r="BV198" s="243"/>
      <c r="BW198" s="243"/>
      <c r="BX198" s="206"/>
      <c r="BY198" s="260"/>
      <c r="BZ198" s="260"/>
      <c r="CA198" s="243"/>
      <c r="CB198" s="163"/>
      <c r="CC198" s="163"/>
      <c r="CD198" s="15"/>
      <c r="CE198" s="15"/>
      <c r="CF198" s="22"/>
      <c r="CG198" s="22"/>
      <c r="CH198" s="22"/>
      <c r="CI198" s="22"/>
      <c r="CJ198" s="22"/>
      <c r="CK198" s="22"/>
      <c r="CL198" s="22"/>
      <c r="CM198" s="22"/>
      <c r="CN198" s="22"/>
    </row>
    <row r="199" spans="2:92" x14ac:dyDescent="0.25">
      <c r="B199" s="171"/>
      <c r="C199" s="171"/>
      <c r="D199" s="171"/>
      <c r="E199" s="171"/>
      <c r="F199" s="171"/>
      <c r="G199" s="171"/>
      <c r="H199" s="171"/>
      <c r="I199" s="171"/>
      <c r="J199" s="171"/>
      <c r="K199" s="171"/>
      <c r="L199" s="171"/>
      <c r="M199" s="171"/>
      <c r="N199" s="171"/>
      <c r="O199" s="171"/>
      <c r="P199" s="171"/>
      <c r="Q199" s="171"/>
      <c r="AU199" s="163"/>
      <c r="AV199" s="163"/>
      <c r="AW199" s="206"/>
      <c r="AX199" s="206"/>
      <c r="AY199" s="206"/>
      <c r="AZ199" s="206"/>
      <c r="BA199" s="206"/>
      <c r="BB199" s="206"/>
      <c r="BC199" s="206"/>
      <c r="BD199" s="206"/>
      <c r="BE199" s="206"/>
      <c r="BF199" s="214"/>
      <c r="BG199" s="214"/>
      <c r="BH199" s="214"/>
      <c r="BI199" s="163"/>
      <c r="BJ199" s="163"/>
      <c r="BK199" s="364"/>
      <c r="BL199" s="364"/>
      <c r="BM199" s="364"/>
      <c r="BN199" s="269"/>
      <c r="BO199" s="163"/>
      <c r="BP199" s="163"/>
      <c r="BQ199" s="169"/>
      <c r="BR199" s="169"/>
      <c r="BS199" s="243"/>
      <c r="BT199" s="243"/>
      <c r="BU199" s="243"/>
      <c r="BV199" s="243"/>
      <c r="BW199" s="243"/>
      <c r="BX199" s="206"/>
      <c r="BY199" s="240"/>
      <c r="BZ199" s="240"/>
      <c r="CA199" s="240"/>
      <c r="CB199" s="163"/>
      <c r="CC199" s="163"/>
      <c r="CD199" s="15"/>
      <c r="CE199" s="15"/>
      <c r="CF199" s="22"/>
      <c r="CG199" s="22"/>
      <c r="CH199" s="22"/>
      <c r="CI199" s="22"/>
      <c r="CJ199" s="22"/>
      <c r="CK199" s="22"/>
      <c r="CL199" s="22"/>
      <c r="CM199" s="22"/>
      <c r="CN199" s="22"/>
    </row>
    <row r="200" spans="2:92" x14ac:dyDescent="0.25">
      <c r="B200" s="171"/>
      <c r="C200" s="171"/>
      <c r="D200" s="171"/>
      <c r="E200" s="171"/>
      <c r="F200" s="171"/>
      <c r="G200" s="171"/>
      <c r="H200" s="171"/>
      <c r="I200" s="171"/>
      <c r="J200" s="171"/>
      <c r="K200" s="171"/>
      <c r="L200" s="171"/>
      <c r="M200" s="171"/>
      <c r="N200" s="171"/>
      <c r="O200" s="171"/>
      <c r="P200" s="171"/>
      <c r="Q200" s="171"/>
      <c r="AU200" s="163"/>
      <c r="AV200" s="163"/>
      <c r="AW200" s="206"/>
      <c r="AX200" s="214"/>
      <c r="AY200" s="214"/>
      <c r="AZ200" s="214"/>
      <c r="BA200" s="214"/>
      <c r="BB200" s="214"/>
      <c r="BC200" s="206"/>
      <c r="BD200" s="206"/>
      <c r="BE200" s="206"/>
      <c r="BF200" s="206"/>
      <c r="BG200" s="235"/>
      <c r="BH200" s="235"/>
      <c r="BI200" s="163"/>
      <c r="BJ200" s="163"/>
      <c r="BK200" s="363"/>
      <c r="BL200" s="363"/>
      <c r="BM200" s="363"/>
      <c r="BN200" s="265"/>
      <c r="BO200" s="163"/>
      <c r="BP200" s="163"/>
      <c r="BQ200" s="243"/>
      <c r="BR200" s="243"/>
      <c r="BS200" s="243"/>
      <c r="BT200" s="243"/>
      <c r="BU200" s="243"/>
      <c r="BV200" s="243"/>
      <c r="BW200" s="243"/>
      <c r="BX200" s="206"/>
      <c r="BY200" s="240"/>
      <c r="BZ200" s="240"/>
      <c r="CA200" s="240"/>
      <c r="CB200" s="163"/>
      <c r="CC200" s="163"/>
      <c r="CD200" s="15"/>
      <c r="CE200" s="15"/>
      <c r="CF200" s="22"/>
      <c r="CG200" s="22"/>
      <c r="CH200" s="22"/>
      <c r="CI200" s="22"/>
      <c r="CJ200" s="22"/>
      <c r="CK200" s="22"/>
      <c r="CL200" s="22"/>
      <c r="CM200" s="22"/>
      <c r="CN200" s="22"/>
    </row>
    <row r="201" spans="2:92" x14ac:dyDescent="0.25">
      <c r="B201" s="171"/>
      <c r="C201" s="171"/>
      <c r="D201" s="171"/>
      <c r="E201" s="171"/>
      <c r="F201" s="171"/>
      <c r="G201" s="171"/>
      <c r="H201" s="171"/>
      <c r="I201" s="171"/>
      <c r="J201" s="171"/>
      <c r="K201" s="171"/>
      <c r="L201" s="171"/>
      <c r="M201" s="171"/>
      <c r="N201" s="171"/>
      <c r="O201" s="171"/>
      <c r="P201" s="171"/>
      <c r="Q201" s="171"/>
      <c r="AU201" s="163"/>
      <c r="AV201" s="163"/>
      <c r="AW201" s="214"/>
      <c r="AX201" s="214"/>
      <c r="AY201" s="214"/>
      <c r="AZ201" s="214"/>
      <c r="BA201" s="214"/>
      <c r="BB201" s="214"/>
      <c r="BC201" s="214"/>
      <c r="BD201" s="214"/>
      <c r="BE201" s="214"/>
      <c r="BF201" s="206"/>
      <c r="BG201" s="235"/>
      <c r="BH201" s="235"/>
      <c r="BI201" s="163"/>
      <c r="BJ201" s="163"/>
      <c r="BK201" s="364"/>
      <c r="BL201" s="364"/>
      <c r="BM201" s="364"/>
      <c r="BN201" s="248"/>
      <c r="BO201" s="163"/>
      <c r="BP201" s="163"/>
      <c r="BQ201" s="243"/>
      <c r="BR201" s="243"/>
      <c r="BS201" s="243"/>
      <c r="BT201" s="243"/>
      <c r="BU201" s="243"/>
      <c r="BV201" s="243"/>
      <c r="BW201" s="243"/>
      <c r="BX201" s="206"/>
      <c r="BY201" s="169"/>
      <c r="BZ201" s="169"/>
      <c r="CA201" s="169"/>
      <c r="CB201" s="163"/>
      <c r="CC201" s="163"/>
      <c r="CD201" s="15"/>
      <c r="CE201" s="15"/>
      <c r="CF201" s="22"/>
      <c r="CG201" s="22"/>
      <c r="CH201" s="22"/>
      <c r="CI201" s="22"/>
      <c r="CJ201" s="22"/>
      <c r="CK201" s="22"/>
      <c r="CL201" s="22"/>
      <c r="CM201" s="22"/>
      <c r="CN201" s="22"/>
    </row>
    <row r="202" spans="2:92" x14ac:dyDescent="0.25">
      <c r="B202" s="171"/>
      <c r="C202" s="171"/>
      <c r="D202" s="171"/>
      <c r="E202" s="171"/>
      <c r="F202" s="171"/>
      <c r="G202" s="171"/>
      <c r="H202" s="171"/>
      <c r="I202" s="171"/>
      <c r="J202" s="171"/>
      <c r="K202" s="171"/>
      <c r="L202" s="171"/>
      <c r="M202" s="171"/>
      <c r="N202" s="171"/>
      <c r="O202" s="171"/>
      <c r="P202" s="171"/>
      <c r="Q202" s="171"/>
      <c r="AU202" s="163"/>
      <c r="AV202" s="163"/>
      <c r="AW202" s="214"/>
      <c r="AX202" s="206"/>
      <c r="AY202" s="206"/>
      <c r="AZ202" s="206"/>
      <c r="BA202" s="206"/>
      <c r="BB202" s="206"/>
      <c r="BC202" s="214"/>
      <c r="BD202" s="214"/>
      <c r="BE202" s="214"/>
      <c r="BF202" s="214"/>
      <c r="BG202" s="235"/>
      <c r="BH202" s="235"/>
      <c r="BI202" s="163"/>
      <c r="BJ202" s="163"/>
      <c r="BK202" s="363"/>
      <c r="BL202" s="363"/>
      <c r="BM202" s="363"/>
      <c r="BN202" s="265"/>
      <c r="BO202" s="163"/>
      <c r="BP202" s="163"/>
      <c r="BQ202" s="243"/>
      <c r="BR202" s="243"/>
      <c r="BS202" s="243"/>
      <c r="BT202" s="243"/>
      <c r="BU202" s="243"/>
      <c r="BV202" s="243"/>
      <c r="BW202" s="243"/>
      <c r="BX202" s="206"/>
      <c r="BY202" s="169"/>
      <c r="BZ202" s="169"/>
      <c r="CA202" s="169"/>
      <c r="CB202" s="163"/>
      <c r="CC202" s="163"/>
      <c r="CD202" s="15"/>
      <c r="CE202" s="15"/>
      <c r="CF202" s="22"/>
      <c r="CG202" s="22"/>
      <c r="CH202" s="22"/>
      <c r="CI202" s="22"/>
      <c r="CJ202" s="22"/>
      <c r="CK202" s="22"/>
      <c r="CL202" s="22"/>
      <c r="CM202" s="22"/>
      <c r="CN202" s="22"/>
    </row>
    <row r="203" spans="2:92" x14ac:dyDescent="0.25">
      <c r="B203" s="171"/>
      <c r="C203" s="171"/>
      <c r="D203" s="171"/>
      <c r="E203" s="171"/>
      <c r="F203" s="171"/>
      <c r="G203" s="171"/>
      <c r="H203" s="171"/>
      <c r="I203" s="171"/>
      <c r="J203" s="171"/>
      <c r="K203" s="171"/>
      <c r="L203" s="171"/>
      <c r="M203" s="171"/>
      <c r="N203" s="171"/>
      <c r="O203" s="171"/>
      <c r="P203" s="171"/>
      <c r="Q203" s="171"/>
      <c r="AU203" s="163"/>
      <c r="AV203" s="163"/>
      <c r="AW203" s="206"/>
      <c r="AX203" s="206"/>
      <c r="AY203" s="206"/>
      <c r="AZ203" s="206"/>
      <c r="BA203" s="206"/>
      <c r="BB203" s="206"/>
      <c r="BC203" s="206"/>
      <c r="BD203" s="206"/>
      <c r="BE203" s="206"/>
      <c r="BF203" s="214"/>
      <c r="BG203" s="235"/>
      <c r="BH203" s="235"/>
      <c r="BI203" s="163"/>
      <c r="BJ203" s="163"/>
      <c r="BK203" s="264"/>
      <c r="BL203" s="264"/>
      <c r="BM203" s="264"/>
      <c r="BN203" s="249"/>
      <c r="BO203" s="205"/>
      <c r="BP203" s="163"/>
      <c r="BQ203" s="240"/>
      <c r="BR203" s="240"/>
      <c r="BS203" s="240"/>
      <c r="BT203" s="240"/>
      <c r="BU203" s="243"/>
      <c r="BV203" s="243"/>
      <c r="BW203" s="243"/>
      <c r="BX203" s="206"/>
      <c r="BY203" s="169"/>
      <c r="BZ203" s="169"/>
      <c r="CA203" s="169"/>
      <c r="CB203" s="163"/>
      <c r="CC203" s="163"/>
      <c r="CF203" s="22"/>
      <c r="CG203" s="22"/>
      <c r="CH203" s="22"/>
      <c r="CI203" s="22"/>
      <c r="CJ203" s="22"/>
      <c r="CK203" s="22"/>
      <c r="CL203" s="22"/>
      <c r="CM203" s="22"/>
      <c r="CN203" s="22"/>
    </row>
    <row r="204" spans="2:92" x14ac:dyDescent="0.25">
      <c r="B204" s="171"/>
      <c r="C204" s="171"/>
      <c r="D204" s="171"/>
      <c r="E204" s="171"/>
      <c r="F204" s="171"/>
      <c r="G204" s="171"/>
      <c r="H204" s="171"/>
      <c r="I204" s="171"/>
      <c r="J204" s="171"/>
      <c r="K204" s="171"/>
      <c r="L204" s="171"/>
      <c r="M204" s="171"/>
      <c r="N204" s="171"/>
      <c r="O204" s="171"/>
      <c r="P204" s="171"/>
      <c r="Q204" s="171"/>
      <c r="AU204" s="163"/>
      <c r="AV204" s="163"/>
      <c r="AW204" s="206"/>
      <c r="AX204" s="214"/>
      <c r="AY204" s="214"/>
      <c r="AZ204" s="214"/>
      <c r="BA204" s="214"/>
      <c r="BB204" s="214"/>
      <c r="BC204" s="206"/>
      <c r="BD204" s="206"/>
      <c r="BE204" s="206"/>
      <c r="BF204" s="206"/>
      <c r="BG204" s="235"/>
      <c r="BH204" s="235"/>
      <c r="BI204" s="163"/>
      <c r="BJ204" s="163"/>
      <c r="BK204" s="363"/>
      <c r="BL204" s="363"/>
      <c r="BM204" s="363"/>
      <c r="BN204" s="265"/>
      <c r="BO204" s="205"/>
      <c r="BP204" s="163"/>
      <c r="BQ204" s="240"/>
      <c r="BR204" s="240"/>
      <c r="BS204" s="240"/>
      <c r="BT204" s="240"/>
      <c r="BU204" s="243"/>
      <c r="BV204" s="243"/>
      <c r="BW204" s="243"/>
      <c r="BX204" s="206"/>
      <c r="BY204" s="169"/>
      <c r="BZ204" s="169"/>
      <c r="CA204" s="169"/>
      <c r="CB204" s="163"/>
      <c r="CC204" s="163"/>
      <c r="CF204" s="22"/>
      <c r="CG204" s="22"/>
      <c r="CH204" s="22"/>
      <c r="CI204" s="22"/>
      <c r="CJ204" s="22"/>
      <c r="CK204" s="22"/>
      <c r="CL204" s="22"/>
      <c r="CM204" s="22"/>
      <c r="CN204" s="22"/>
    </row>
    <row r="205" spans="2:92" x14ac:dyDescent="0.25">
      <c r="B205" s="171"/>
      <c r="C205" s="171"/>
      <c r="D205" s="171"/>
      <c r="E205" s="171"/>
      <c r="F205" s="171"/>
      <c r="G205" s="171"/>
      <c r="H205" s="171"/>
      <c r="I205" s="171"/>
      <c r="J205" s="171"/>
      <c r="K205" s="171"/>
      <c r="L205" s="171"/>
      <c r="M205" s="171"/>
      <c r="N205" s="171"/>
      <c r="O205" s="171"/>
      <c r="P205" s="171"/>
      <c r="Q205" s="171"/>
      <c r="AU205" s="163"/>
      <c r="AV205" s="163"/>
      <c r="AW205" s="214"/>
      <c r="AX205" s="214"/>
      <c r="AY205" s="214"/>
      <c r="AZ205" s="214"/>
      <c r="BA205" s="214"/>
      <c r="BB205" s="214"/>
      <c r="BC205" s="214"/>
      <c r="BD205" s="214"/>
      <c r="BE205" s="214"/>
      <c r="BF205" s="206"/>
      <c r="BG205" s="235"/>
      <c r="BH205" s="235"/>
      <c r="BI205" s="163"/>
      <c r="BJ205" s="163"/>
      <c r="BK205" s="363"/>
      <c r="BL205" s="363"/>
      <c r="BM205" s="363"/>
      <c r="BN205" s="248"/>
      <c r="BO205" s="205"/>
      <c r="BP205" s="163"/>
      <c r="BQ205" s="163"/>
      <c r="BR205" s="163"/>
      <c r="BS205" s="163"/>
      <c r="BT205" s="163"/>
      <c r="BU205" s="163"/>
      <c r="BV205" s="163"/>
      <c r="BW205" s="163"/>
      <c r="BX205" s="163"/>
      <c r="BY205" s="163"/>
      <c r="BZ205" s="163"/>
      <c r="CA205" s="163"/>
      <c r="CB205" s="163"/>
      <c r="CC205" s="163"/>
      <c r="CF205" s="22"/>
      <c r="CG205" s="22"/>
      <c r="CH205" s="22"/>
      <c r="CI205" s="22"/>
      <c r="CJ205" s="22"/>
      <c r="CK205" s="22"/>
      <c r="CL205" s="22"/>
      <c r="CM205" s="22"/>
      <c r="CN205" s="22"/>
    </row>
    <row r="206" spans="2:92" x14ac:dyDescent="0.25">
      <c r="B206" s="171"/>
      <c r="C206" s="171"/>
      <c r="D206" s="171"/>
      <c r="E206" s="171"/>
      <c r="F206" s="171"/>
      <c r="G206" s="171"/>
      <c r="H206" s="171"/>
      <c r="I206" s="171"/>
      <c r="J206" s="171"/>
      <c r="K206" s="171"/>
      <c r="L206" s="171"/>
      <c r="M206" s="171"/>
      <c r="N206" s="171"/>
      <c r="O206" s="171"/>
      <c r="P206" s="171"/>
      <c r="Q206" s="171"/>
      <c r="AU206" s="163"/>
      <c r="AV206" s="163"/>
      <c r="AW206" s="214"/>
      <c r="AX206" s="214"/>
      <c r="AY206" s="214"/>
      <c r="AZ206" s="214"/>
      <c r="BA206" s="214"/>
      <c r="BB206" s="214"/>
      <c r="BC206" s="214"/>
      <c r="BD206" s="214"/>
      <c r="BE206" s="214"/>
      <c r="BF206" s="214"/>
      <c r="BG206" s="214"/>
      <c r="BH206" s="214"/>
      <c r="BI206" s="163"/>
      <c r="BJ206" s="163"/>
      <c r="BK206" s="363"/>
      <c r="BL206" s="363"/>
      <c r="BM206" s="363"/>
      <c r="BN206" s="265"/>
      <c r="BO206" s="205"/>
      <c r="BP206" s="163"/>
      <c r="BQ206" s="163"/>
      <c r="BR206" s="163"/>
      <c r="BS206" s="163"/>
      <c r="BT206" s="163"/>
      <c r="BU206" s="163"/>
      <c r="BV206" s="163"/>
      <c r="BW206" s="163"/>
      <c r="BX206" s="163"/>
      <c r="BY206" s="163"/>
      <c r="BZ206" s="163"/>
      <c r="CA206" s="163"/>
      <c r="CB206" s="163"/>
      <c r="CC206" s="163"/>
      <c r="CF206" s="22"/>
      <c r="CG206" s="22"/>
      <c r="CH206" s="22"/>
      <c r="CI206" s="22"/>
      <c r="CJ206" s="22"/>
      <c r="CK206" s="22"/>
      <c r="CL206" s="22"/>
      <c r="CM206" s="22"/>
      <c r="CN206" s="22"/>
    </row>
    <row r="207" spans="2:92" x14ac:dyDescent="0.25">
      <c r="B207" s="171"/>
      <c r="C207" s="171"/>
      <c r="D207" s="171"/>
      <c r="E207" s="171"/>
      <c r="F207" s="171"/>
      <c r="G207" s="171"/>
      <c r="H207" s="171"/>
      <c r="I207" s="171"/>
      <c r="J207" s="171"/>
      <c r="K207" s="171"/>
      <c r="L207" s="171"/>
      <c r="M207" s="171"/>
      <c r="N207" s="171"/>
      <c r="O207" s="171"/>
      <c r="P207" s="171"/>
      <c r="Q207" s="171"/>
      <c r="AU207" s="163"/>
      <c r="AV207" s="163"/>
      <c r="AW207" s="214"/>
      <c r="AX207" s="206"/>
      <c r="AY207" s="206"/>
      <c r="AZ207" s="206"/>
      <c r="BA207" s="206"/>
      <c r="BB207" s="206"/>
      <c r="BC207" s="214"/>
      <c r="BD207" s="214"/>
      <c r="BE207" s="214"/>
      <c r="BF207" s="214"/>
      <c r="BG207" s="214"/>
      <c r="BH207" s="214"/>
      <c r="BI207" s="163"/>
      <c r="BJ207" s="163"/>
      <c r="BK207" s="363"/>
      <c r="BL207" s="363"/>
      <c r="BM207" s="363"/>
      <c r="BN207" s="248"/>
      <c r="BO207" s="205"/>
      <c r="BP207" s="163"/>
      <c r="BQ207" s="163"/>
      <c r="BR207" s="163"/>
      <c r="BS207" s="163"/>
      <c r="BT207" s="163"/>
      <c r="BU207" s="163"/>
      <c r="BV207" s="163"/>
      <c r="BW207" s="163"/>
      <c r="BX207" s="163"/>
      <c r="BY207" s="163"/>
      <c r="BZ207" s="163"/>
      <c r="CA207" s="163"/>
      <c r="CB207" s="163"/>
      <c r="CC207" s="163"/>
      <c r="CF207" s="22"/>
      <c r="CG207" s="22"/>
      <c r="CH207" s="22"/>
      <c r="CI207" s="22"/>
      <c r="CJ207" s="22"/>
      <c r="CK207" s="22"/>
      <c r="CL207" s="22"/>
      <c r="CM207" s="22"/>
      <c r="CN207" s="22"/>
    </row>
    <row r="208" spans="2:92" x14ac:dyDescent="0.25">
      <c r="B208" s="171"/>
      <c r="C208" s="171"/>
      <c r="D208" s="171"/>
      <c r="E208" s="171"/>
      <c r="F208" s="171"/>
      <c r="G208" s="171"/>
      <c r="H208" s="171"/>
      <c r="I208" s="171"/>
      <c r="J208" s="171"/>
      <c r="K208" s="171"/>
      <c r="L208" s="171"/>
      <c r="M208" s="171"/>
      <c r="N208" s="171"/>
      <c r="O208" s="171"/>
      <c r="P208" s="171"/>
      <c r="Q208" s="171"/>
      <c r="AU208" s="163"/>
      <c r="AV208" s="163"/>
      <c r="AW208" s="206"/>
      <c r="AX208" s="206"/>
      <c r="AY208" s="206"/>
      <c r="AZ208" s="206"/>
      <c r="BA208" s="206"/>
      <c r="BB208" s="206"/>
      <c r="BC208" s="206"/>
      <c r="BD208" s="206"/>
      <c r="BE208" s="206"/>
      <c r="BF208" s="214"/>
      <c r="BG208" s="214"/>
      <c r="BH208" s="214"/>
      <c r="BI208" s="163"/>
      <c r="BJ208" s="163"/>
      <c r="BK208" s="163"/>
      <c r="BL208" s="163"/>
      <c r="BM208" s="163"/>
      <c r="BN208" s="163"/>
      <c r="BO208" s="163"/>
      <c r="BP208" s="163"/>
      <c r="BQ208" s="163"/>
      <c r="BR208" s="163"/>
      <c r="BS208" s="163"/>
      <c r="BT208" s="163"/>
      <c r="BU208" s="163"/>
      <c r="BV208" s="163"/>
      <c r="BW208" s="163"/>
      <c r="BX208" s="163"/>
      <c r="BY208" s="163"/>
      <c r="BZ208" s="163"/>
      <c r="CA208" s="163"/>
      <c r="CB208" s="163"/>
      <c r="CC208" s="163"/>
      <c r="CF208" s="22"/>
      <c r="CG208" s="22"/>
      <c r="CH208" s="22"/>
      <c r="CI208" s="22"/>
      <c r="CJ208" s="22"/>
      <c r="CK208" s="22"/>
      <c r="CL208" s="22"/>
      <c r="CM208" s="22"/>
      <c r="CN208" s="22"/>
    </row>
    <row r="209" spans="2:92" x14ac:dyDescent="0.25">
      <c r="B209" s="171"/>
      <c r="C209" s="171"/>
      <c r="D209" s="171"/>
      <c r="E209" s="171"/>
      <c r="F209" s="171"/>
      <c r="G209" s="171"/>
      <c r="H209" s="171"/>
      <c r="I209" s="171"/>
      <c r="J209" s="171"/>
      <c r="K209" s="171"/>
      <c r="L209" s="171"/>
      <c r="M209" s="171"/>
      <c r="N209" s="171"/>
      <c r="O209" s="171"/>
      <c r="P209" s="171"/>
      <c r="Q209" s="171"/>
      <c r="AU209" s="163"/>
      <c r="AV209" s="163"/>
      <c r="AW209" s="206"/>
      <c r="AX209" s="163"/>
      <c r="AY209" s="163"/>
      <c r="AZ209" s="163"/>
      <c r="BA209" s="163"/>
      <c r="BB209" s="163"/>
      <c r="BC209" s="206"/>
      <c r="BD209" s="206"/>
      <c r="BE209" s="206"/>
      <c r="BF209" s="206"/>
      <c r="BG209" s="206"/>
      <c r="BH209" s="206"/>
      <c r="BI209" s="163"/>
      <c r="BJ209" s="163"/>
      <c r="BK209" s="163"/>
      <c r="BL209" s="163"/>
      <c r="BM209" s="163"/>
      <c r="BN209" s="163"/>
      <c r="BO209" s="163"/>
      <c r="BP209" s="163"/>
      <c r="BQ209" s="163"/>
      <c r="BR209" s="163"/>
      <c r="BS209" s="163"/>
      <c r="BT209" s="163"/>
      <c r="BU209" s="163"/>
      <c r="BV209" s="163"/>
      <c r="BW209" s="163"/>
      <c r="BX209" s="163"/>
      <c r="BY209" s="163"/>
      <c r="BZ209" s="163"/>
      <c r="CA209" s="163"/>
      <c r="CB209" s="163"/>
      <c r="CC209" s="163"/>
      <c r="CF209" s="22"/>
      <c r="CG209" s="22"/>
      <c r="CH209" s="22"/>
      <c r="CI209" s="22"/>
      <c r="CJ209" s="22"/>
      <c r="CK209" s="22"/>
      <c r="CL209" s="22"/>
      <c r="CM209" s="22"/>
      <c r="CN209" s="22"/>
    </row>
    <row r="210" spans="2:92" x14ac:dyDescent="0.25">
      <c r="B210" s="171"/>
      <c r="C210" s="171"/>
      <c r="D210" s="171"/>
      <c r="E210" s="171"/>
      <c r="F210" s="171"/>
      <c r="G210" s="171"/>
      <c r="H210" s="171"/>
      <c r="I210" s="171"/>
      <c r="J210" s="171"/>
      <c r="K210" s="171"/>
      <c r="L210" s="171"/>
      <c r="M210" s="171"/>
      <c r="N210" s="171"/>
      <c r="O210" s="171"/>
      <c r="P210" s="171"/>
      <c r="Q210" s="171"/>
      <c r="AU210" s="163"/>
      <c r="AV210" s="163"/>
      <c r="AW210" s="163"/>
      <c r="AX210" s="163"/>
      <c r="AY210" s="163"/>
      <c r="AZ210" s="163"/>
      <c r="BA210" s="163"/>
      <c r="BB210" s="163"/>
      <c r="BC210" s="163"/>
      <c r="BD210" s="163"/>
      <c r="BE210" s="163"/>
      <c r="BF210" s="206"/>
      <c r="BG210" s="206"/>
      <c r="BH210" s="206"/>
      <c r="BI210" s="163"/>
      <c r="BJ210" s="163"/>
      <c r="BK210" s="163"/>
      <c r="BL210" s="163"/>
      <c r="BM210" s="163"/>
      <c r="BN210" s="163"/>
      <c r="BO210" s="163"/>
      <c r="BP210" s="163"/>
      <c r="BQ210" s="163"/>
      <c r="BR210" s="163"/>
      <c r="BS210" s="163"/>
      <c r="BT210" s="163"/>
      <c r="BU210" s="163"/>
      <c r="BV210" s="163"/>
      <c r="BW210" s="163"/>
      <c r="BX210" s="163"/>
      <c r="BY210" s="163"/>
      <c r="BZ210" s="163"/>
      <c r="CA210" s="163"/>
      <c r="CB210" s="163"/>
      <c r="CC210" s="163"/>
      <c r="CF210" s="22"/>
      <c r="CG210" s="22"/>
      <c r="CH210" s="22"/>
      <c r="CI210" s="22"/>
      <c r="CJ210" s="22"/>
      <c r="CK210" s="22"/>
      <c r="CL210" s="22"/>
      <c r="CM210" s="22"/>
      <c r="CN210" s="22"/>
    </row>
    <row r="211" spans="2:92" x14ac:dyDescent="0.25">
      <c r="B211" s="171"/>
      <c r="C211" s="171"/>
      <c r="D211" s="171"/>
      <c r="E211" s="171"/>
      <c r="F211" s="171"/>
      <c r="G211" s="171"/>
      <c r="H211" s="171"/>
      <c r="I211" s="171"/>
      <c r="J211" s="171"/>
      <c r="K211" s="171"/>
      <c r="L211" s="171"/>
      <c r="M211" s="171"/>
      <c r="N211" s="171"/>
      <c r="O211" s="171"/>
      <c r="P211" s="171"/>
      <c r="Q211" s="171"/>
      <c r="AU211" s="163"/>
      <c r="AV211" s="163"/>
      <c r="AW211" s="163"/>
      <c r="AX211" s="163"/>
      <c r="AY211" s="163"/>
      <c r="AZ211" s="163"/>
      <c r="BA211" s="163"/>
      <c r="BB211" s="163"/>
      <c r="BC211" s="163"/>
      <c r="BD211" s="163"/>
      <c r="BE211" s="163"/>
      <c r="BF211" s="163"/>
      <c r="BG211" s="163"/>
      <c r="BH211" s="163"/>
      <c r="BI211" s="163"/>
      <c r="BJ211" s="163"/>
      <c r="BK211" s="163"/>
      <c r="BL211" s="163"/>
      <c r="BM211" s="163"/>
      <c r="BN211" s="163"/>
      <c r="BO211" s="163"/>
      <c r="BP211" s="163"/>
      <c r="BQ211" s="163"/>
      <c r="BR211" s="163"/>
      <c r="BS211" s="163"/>
      <c r="BT211" s="163"/>
      <c r="BU211" s="163"/>
      <c r="BV211" s="163"/>
      <c r="BW211" s="163"/>
      <c r="BX211" s="163"/>
      <c r="BY211" s="163"/>
      <c r="BZ211" s="163"/>
      <c r="CA211" s="163"/>
      <c r="CB211" s="163"/>
      <c r="CC211" s="163"/>
      <c r="CF211" s="22"/>
      <c r="CG211" s="22"/>
      <c r="CH211" s="22"/>
      <c r="CI211" s="22"/>
      <c r="CJ211" s="22"/>
      <c r="CK211" s="22"/>
      <c r="CL211" s="22"/>
      <c r="CM211" s="22"/>
      <c r="CN211" s="22"/>
    </row>
    <row r="212" spans="2:92" x14ac:dyDescent="0.25">
      <c r="B212" s="171"/>
      <c r="C212" s="171"/>
      <c r="D212" s="171"/>
      <c r="E212" s="171"/>
      <c r="F212" s="171"/>
      <c r="G212" s="171"/>
      <c r="H212" s="171"/>
      <c r="I212" s="171"/>
      <c r="J212" s="171"/>
      <c r="K212" s="171"/>
      <c r="L212" s="171"/>
      <c r="M212" s="171"/>
      <c r="N212" s="171"/>
      <c r="O212" s="171"/>
      <c r="P212" s="171"/>
      <c r="Q212" s="171"/>
      <c r="AU212" s="163"/>
      <c r="AV212" s="163"/>
      <c r="AW212" s="163"/>
      <c r="AX212" s="163"/>
      <c r="AY212" s="163"/>
      <c r="AZ212" s="163"/>
      <c r="BA212" s="163"/>
      <c r="BB212" s="163"/>
      <c r="BC212" s="163"/>
      <c r="BD212" s="163"/>
      <c r="BE212" s="163"/>
      <c r="BF212" s="163"/>
      <c r="BG212" s="163"/>
      <c r="BH212" s="163"/>
      <c r="BI212" s="163"/>
      <c r="BJ212" s="163"/>
      <c r="BK212" s="163"/>
      <c r="BL212" s="163"/>
      <c r="BM212" s="163"/>
      <c r="BN212" s="163"/>
      <c r="BO212" s="163"/>
      <c r="BP212" s="163"/>
      <c r="BQ212" s="163"/>
      <c r="BR212" s="163"/>
      <c r="BS212" s="163"/>
      <c r="BT212" s="163"/>
      <c r="BU212" s="163"/>
      <c r="BV212" s="163"/>
      <c r="BW212" s="163"/>
      <c r="BX212" s="163"/>
      <c r="BY212" s="163"/>
      <c r="BZ212" s="163"/>
      <c r="CA212" s="163"/>
      <c r="CB212" s="163"/>
      <c r="CC212" s="163"/>
      <c r="CF212" s="22"/>
      <c r="CG212" s="22"/>
      <c r="CH212" s="22"/>
      <c r="CI212" s="22"/>
      <c r="CJ212" s="22"/>
      <c r="CK212" s="22"/>
      <c r="CL212" s="22"/>
      <c r="CM212" s="22"/>
      <c r="CN212" s="22"/>
    </row>
    <row r="213" spans="2:92" x14ac:dyDescent="0.25">
      <c r="B213" s="171"/>
      <c r="C213" s="171"/>
      <c r="D213" s="171"/>
      <c r="E213" s="171"/>
      <c r="F213" s="171"/>
      <c r="G213" s="171"/>
      <c r="H213" s="171"/>
      <c r="I213" s="171"/>
      <c r="J213" s="171"/>
      <c r="K213" s="171"/>
      <c r="L213" s="171"/>
      <c r="M213" s="171"/>
      <c r="N213" s="171"/>
      <c r="O213" s="171"/>
      <c r="P213" s="171"/>
      <c r="Q213" s="171"/>
      <c r="AU213" s="163"/>
      <c r="AV213" s="163"/>
      <c r="AW213" s="163"/>
      <c r="AX213" s="163"/>
      <c r="AY213" s="163"/>
      <c r="AZ213" s="163"/>
      <c r="BA213" s="163"/>
      <c r="BB213" s="163"/>
      <c r="BC213" s="163"/>
      <c r="BD213" s="163"/>
      <c r="BE213" s="163"/>
      <c r="BF213" s="163"/>
      <c r="BG213" s="163"/>
      <c r="BH213" s="163"/>
      <c r="BI213" s="163"/>
      <c r="BJ213" s="163"/>
      <c r="BK213" s="163"/>
      <c r="BL213" s="163"/>
      <c r="BM213" s="163"/>
      <c r="BN213" s="163"/>
      <c r="BO213" s="163"/>
      <c r="BP213" s="163"/>
      <c r="BQ213" s="163"/>
      <c r="BR213" s="163"/>
      <c r="BS213" s="163"/>
      <c r="BT213" s="163"/>
      <c r="BU213" s="163"/>
      <c r="BV213" s="163"/>
      <c r="BW213" s="163"/>
      <c r="BX213" s="163"/>
      <c r="BY213" s="163"/>
      <c r="BZ213" s="163"/>
      <c r="CA213" s="163"/>
      <c r="CB213" s="163"/>
      <c r="CC213" s="163"/>
      <c r="CF213" s="22"/>
      <c r="CG213" s="22"/>
      <c r="CH213" s="22"/>
      <c r="CI213" s="22"/>
      <c r="CJ213" s="22"/>
      <c r="CK213" s="22"/>
      <c r="CL213" s="22"/>
      <c r="CM213" s="22"/>
      <c r="CN213" s="22"/>
    </row>
    <row r="214" spans="2:92" x14ac:dyDescent="0.25">
      <c r="B214" s="171"/>
      <c r="C214" s="171"/>
      <c r="D214" s="171"/>
      <c r="E214" s="171"/>
      <c r="F214" s="171"/>
      <c r="G214" s="171"/>
      <c r="H214" s="171"/>
      <c r="I214" s="171"/>
      <c r="J214" s="171"/>
      <c r="K214" s="171"/>
      <c r="L214" s="171"/>
      <c r="M214" s="171"/>
      <c r="N214" s="171"/>
      <c r="O214" s="171"/>
      <c r="P214" s="171"/>
      <c r="Q214" s="171"/>
      <c r="AU214" s="163"/>
      <c r="AV214" s="163"/>
      <c r="AW214" s="163"/>
      <c r="AX214" s="163"/>
      <c r="AY214" s="163"/>
      <c r="AZ214" s="163"/>
      <c r="BA214" s="163"/>
      <c r="BB214" s="163"/>
      <c r="BC214" s="163"/>
      <c r="BD214" s="163"/>
      <c r="BE214" s="163"/>
      <c r="BF214" s="163"/>
      <c r="BG214" s="163"/>
      <c r="BH214" s="163"/>
      <c r="BI214" s="163"/>
      <c r="BJ214" s="163"/>
      <c r="BK214" s="163"/>
      <c r="BL214" s="163"/>
      <c r="BM214" s="163"/>
      <c r="BN214" s="163"/>
      <c r="BO214" s="163"/>
      <c r="BP214" s="163"/>
      <c r="BQ214" s="163"/>
      <c r="BR214" s="163"/>
      <c r="BS214" s="163"/>
      <c r="BT214" s="163"/>
      <c r="BU214" s="163"/>
      <c r="BV214" s="163"/>
      <c r="BW214" s="163"/>
      <c r="BX214" s="163"/>
      <c r="BY214" s="163"/>
      <c r="BZ214" s="163"/>
      <c r="CA214" s="163"/>
      <c r="CB214" s="163"/>
      <c r="CC214" s="163"/>
      <c r="CF214" s="22"/>
      <c r="CG214" s="22"/>
      <c r="CH214" s="22"/>
      <c r="CI214" s="22"/>
      <c r="CJ214" s="22"/>
      <c r="CK214" s="22"/>
      <c r="CL214" s="22"/>
      <c r="CM214" s="22"/>
      <c r="CN214" s="22"/>
    </row>
    <row r="215" spans="2:92" x14ac:dyDescent="0.25">
      <c r="B215" s="171"/>
      <c r="C215" s="171"/>
      <c r="D215" s="171"/>
      <c r="E215" s="171"/>
      <c r="F215" s="171"/>
      <c r="G215" s="171"/>
      <c r="H215" s="171"/>
      <c r="I215" s="171"/>
      <c r="J215" s="171"/>
      <c r="K215" s="171"/>
      <c r="L215" s="171"/>
      <c r="M215" s="171"/>
      <c r="N215" s="171"/>
      <c r="O215" s="171"/>
      <c r="P215" s="171"/>
      <c r="Q215" s="171"/>
      <c r="AU215" s="163"/>
      <c r="AV215" s="163"/>
      <c r="AW215" s="163"/>
      <c r="AX215" s="163"/>
      <c r="AY215" s="163"/>
      <c r="AZ215" s="163"/>
      <c r="BA215" s="163"/>
      <c r="BB215" s="163"/>
      <c r="BC215" s="163"/>
      <c r="BD215" s="163"/>
      <c r="BE215" s="163"/>
      <c r="BF215" s="163"/>
      <c r="BG215" s="163"/>
      <c r="BH215" s="163"/>
      <c r="BI215" s="163"/>
      <c r="BJ215" s="163"/>
      <c r="BK215" s="163"/>
      <c r="BL215" s="163"/>
      <c r="BM215" s="163"/>
      <c r="BN215" s="163"/>
      <c r="BO215" s="163"/>
      <c r="BP215" s="163"/>
      <c r="BQ215" s="163"/>
      <c r="BR215" s="163"/>
      <c r="BS215" s="163"/>
      <c r="BT215" s="163"/>
      <c r="BU215" s="163"/>
      <c r="BV215" s="163"/>
      <c r="BW215" s="163"/>
      <c r="BX215" s="163"/>
      <c r="BY215" s="163"/>
      <c r="BZ215" s="163"/>
      <c r="CA215" s="163"/>
      <c r="CB215" s="163"/>
      <c r="CC215" s="163"/>
      <c r="CF215" s="22"/>
      <c r="CG215" s="22"/>
      <c r="CH215" s="22"/>
      <c r="CI215" s="22"/>
      <c r="CJ215" s="22"/>
      <c r="CK215" s="22"/>
      <c r="CL215" s="22"/>
      <c r="CM215" s="22"/>
      <c r="CN215" s="22"/>
    </row>
    <row r="216" spans="2:92" x14ac:dyDescent="0.25">
      <c r="B216" s="171"/>
      <c r="C216" s="171"/>
      <c r="D216" s="171"/>
      <c r="E216" s="171"/>
      <c r="F216" s="171"/>
      <c r="G216" s="171"/>
      <c r="H216" s="171"/>
      <c r="I216" s="171"/>
      <c r="J216" s="171"/>
      <c r="K216" s="171"/>
      <c r="L216" s="171"/>
      <c r="M216" s="171"/>
      <c r="N216" s="171"/>
      <c r="O216" s="171"/>
      <c r="P216" s="171"/>
      <c r="Q216" s="171"/>
      <c r="AU216" s="163"/>
      <c r="AV216" s="163"/>
      <c r="AW216" s="163"/>
      <c r="AX216" s="163"/>
      <c r="AY216" s="163"/>
      <c r="AZ216" s="163"/>
      <c r="BA216" s="163"/>
      <c r="BB216" s="163"/>
      <c r="BC216" s="163"/>
      <c r="BD216" s="163"/>
      <c r="BE216" s="163"/>
      <c r="BF216" s="163"/>
      <c r="BG216" s="163"/>
      <c r="BH216" s="163"/>
      <c r="BI216" s="163"/>
      <c r="BJ216" s="163"/>
      <c r="BK216" s="163"/>
      <c r="BL216" s="163"/>
      <c r="BM216" s="163"/>
      <c r="BN216" s="163"/>
      <c r="BO216" s="163"/>
      <c r="BP216" s="163"/>
      <c r="BQ216" s="163"/>
      <c r="BR216" s="163"/>
      <c r="BS216" s="163"/>
      <c r="BT216" s="163"/>
      <c r="BU216" s="163"/>
      <c r="BV216" s="163"/>
      <c r="BW216" s="163"/>
      <c r="BX216" s="163"/>
      <c r="BY216" s="163"/>
      <c r="BZ216" s="163"/>
      <c r="CA216" s="163"/>
      <c r="CB216" s="163"/>
      <c r="CC216" s="163"/>
      <c r="CF216" s="22"/>
      <c r="CG216" s="22"/>
      <c r="CH216" s="22"/>
      <c r="CI216" s="22"/>
      <c r="CJ216" s="22"/>
      <c r="CK216" s="22"/>
      <c r="CL216" s="22"/>
      <c r="CM216" s="22"/>
      <c r="CN216" s="22"/>
    </row>
    <row r="217" spans="2:92" x14ac:dyDescent="0.25">
      <c r="B217" s="171"/>
      <c r="C217" s="171"/>
      <c r="D217" s="171"/>
      <c r="E217" s="171"/>
      <c r="F217" s="171"/>
      <c r="G217" s="171"/>
      <c r="H217" s="171"/>
      <c r="I217" s="171"/>
      <c r="J217" s="171"/>
      <c r="K217" s="171"/>
      <c r="L217" s="171"/>
      <c r="M217" s="171"/>
      <c r="N217" s="171"/>
      <c r="O217" s="171"/>
      <c r="P217" s="171"/>
      <c r="Q217" s="171"/>
      <c r="AU217" s="163"/>
      <c r="AV217" s="163"/>
      <c r="AW217" s="163"/>
      <c r="AX217" s="163"/>
      <c r="AY217" s="163"/>
      <c r="AZ217" s="163"/>
      <c r="BA217" s="163"/>
      <c r="BB217" s="163"/>
      <c r="BC217" s="163"/>
      <c r="BD217" s="163"/>
      <c r="BE217" s="163"/>
      <c r="BF217" s="163"/>
      <c r="BG217" s="163"/>
      <c r="BH217" s="163"/>
      <c r="BI217" s="163"/>
      <c r="BJ217" s="163"/>
      <c r="BK217" s="163"/>
      <c r="BL217" s="163"/>
      <c r="BM217" s="163"/>
      <c r="BN217" s="163"/>
      <c r="BO217" s="163"/>
      <c r="BP217" s="163"/>
      <c r="BQ217" s="163"/>
      <c r="BR217" s="163"/>
      <c r="BS217" s="163"/>
      <c r="BT217" s="163"/>
      <c r="BU217" s="163"/>
      <c r="BV217" s="163"/>
      <c r="BW217" s="163"/>
      <c r="BX217" s="163"/>
      <c r="BY217" s="163"/>
      <c r="BZ217" s="163"/>
      <c r="CA217" s="163"/>
      <c r="CB217" s="163"/>
      <c r="CC217" s="163"/>
      <c r="CF217" s="22"/>
      <c r="CG217" s="22"/>
      <c r="CH217" s="22"/>
      <c r="CI217" s="22"/>
      <c r="CJ217" s="22"/>
      <c r="CK217" s="22"/>
      <c r="CL217" s="22"/>
      <c r="CM217" s="22"/>
      <c r="CN217" s="22"/>
    </row>
    <row r="218" spans="2:92" x14ac:dyDescent="0.25">
      <c r="B218" s="171"/>
      <c r="C218" s="171"/>
      <c r="D218" s="171"/>
      <c r="E218" s="171"/>
      <c r="F218" s="171"/>
      <c r="G218" s="171"/>
      <c r="H218" s="171"/>
      <c r="I218" s="171"/>
      <c r="J218" s="171"/>
      <c r="K218" s="171"/>
      <c r="L218" s="171"/>
      <c r="M218" s="171"/>
      <c r="N218" s="171"/>
      <c r="O218" s="171"/>
      <c r="P218" s="171"/>
      <c r="Q218" s="171"/>
      <c r="AU218" s="163"/>
      <c r="AV218" s="163"/>
      <c r="AW218" s="163"/>
      <c r="AX218" s="163"/>
      <c r="AY218" s="163"/>
      <c r="AZ218" s="163"/>
      <c r="BA218" s="163"/>
      <c r="BB218" s="163"/>
      <c r="BC218" s="163"/>
      <c r="BD218" s="163"/>
      <c r="BE218" s="163"/>
      <c r="BF218" s="163"/>
      <c r="BG218" s="163"/>
      <c r="BH218" s="163"/>
      <c r="BI218" s="163"/>
      <c r="BJ218" s="163"/>
      <c r="BK218" s="163"/>
      <c r="BL218" s="163"/>
      <c r="BM218" s="163"/>
      <c r="BN218" s="163"/>
      <c r="BO218" s="163"/>
      <c r="BP218" s="163"/>
      <c r="BQ218" s="163"/>
      <c r="BR218" s="163"/>
      <c r="BS218" s="163"/>
      <c r="BT218" s="163"/>
      <c r="BU218" s="163"/>
      <c r="BV218" s="163"/>
      <c r="BW218" s="163"/>
      <c r="BX218" s="163"/>
      <c r="BY218" s="163"/>
      <c r="BZ218" s="163"/>
      <c r="CA218" s="163"/>
      <c r="CB218" s="163"/>
      <c r="CC218" s="163"/>
      <c r="CF218" s="22"/>
      <c r="CG218" s="22"/>
      <c r="CH218" s="22"/>
      <c r="CI218" s="22"/>
      <c r="CJ218" s="22"/>
      <c r="CK218" s="22"/>
      <c r="CL218" s="22"/>
      <c r="CM218" s="22"/>
      <c r="CN218" s="22"/>
    </row>
    <row r="219" spans="2:92" x14ac:dyDescent="0.25">
      <c r="B219" s="171"/>
      <c r="C219" s="171"/>
      <c r="D219" s="171"/>
      <c r="E219" s="171"/>
      <c r="F219" s="171"/>
      <c r="G219" s="171"/>
      <c r="H219" s="171"/>
      <c r="I219" s="171"/>
      <c r="J219" s="171"/>
      <c r="K219" s="171"/>
      <c r="L219" s="171"/>
      <c r="M219" s="171"/>
      <c r="N219" s="171"/>
      <c r="O219" s="171"/>
      <c r="P219" s="171"/>
      <c r="Q219" s="171"/>
      <c r="AU219" s="163"/>
      <c r="AV219" s="163"/>
      <c r="AW219" s="163"/>
      <c r="AX219" s="163"/>
      <c r="AY219" s="163"/>
      <c r="AZ219" s="163"/>
      <c r="BA219" s="163"/>
      <c r="BB219" s="163"/>
      <c r="BC219" s="163"/>
      <c r="BD219" s="163"/>
      <c r="BE219" s="163"/>
      <c r="BF219" s="163"/>
      <c r="BG219" s="163"/>
      <c r="BH219" s="163"/>
      <c r="BI219" s="163"/>
      <c r="BJ219" s="163"/>
      <c r="BK219" s="163"/>
      <c r="BL219" s="163"/>
      <c r="BM219" s="163"/>
      <c r="BN219" s="163"/>
      <c r="BO219" s="163"/>
      <c r="BP219" s="163"/>
      <c r="BQ219" s="163"/>
      <c r="BR219" s="163"/>
      <c r="BS219" s="163"/>
      <c r="BT219" s="163"/>
      <c r="BU219" s="163"/>
      <c r="BV219" s="163"/>
      <c r="BW219" s="163"/>
      <c r="BX219" s="163"/>
      <c r="BY219" s="163"/>
      <c r="BZ219" s="163"/>
      <c r="CA219" s="163"/>
      <c r="CB219" s="163"/>
      <c r="CC219" s="163"/>
      <c r="CF219" s="22"/>
      <c r="CG219" s="22"/>
      <c r="CH219" s="22"/>
      <c r="CI219" s="22"/>
      <c r="CJ219" s="22"/>
      <c r="CK219" s="22"/>
      <c r="CL219" s="22"/>
      <c r="CM219" s="22"/>
      <c r="CN219" s="22"/>
    </row>
    <row r="220" spans="2:92" x14ac:dyDescent="0.25">
      <c r="B220" s="171"/>
      <c r="C220" s="171"/>
      <c r="D220" s="171"/>
      <c r="E220" s="171"/>
      <c r="F220" s="171"/>
      <c r="G220" s="171"/>
      <c r="H220" s="171"/>
      <c r="I220" s="171"/>
      <c r="J220" s="171"/>
      <c r="K220" s="171"/>
      <c r="L220" s="171"/>
      <c r="M220" s="171"/>
      <c r="N220" s="171"/>
      <c r="O220" s="171"/>
      <c r="P220" s="171"/>
      <c r="Q220" s="171"/>
      <c r="AU220" s="163"/>
      <c r="AV220" s="163"/>
      <c r="AW220" s="163"/>
      <c r="AX220" s="163"/>
      <c r="AY220" s="163"/>
      <c r="AZ220" s="163"/>
      <c r="BA220" s="163"/>
      <c r="BB220" s="163"/>
      <c r="BC220" s="163"/>
      <c r="BD220" s="163"/>
      <c r="BE220" s="163"/>
      <c r="BF220" s="163"/>
      <c r="BG220" s="163"/>
      <c r="BH220" s="163"/>
      <c r="BI220" s="163"/>
      <c r="BJ220" s="163"/>
      <c r="BK220" s="163"/>
      <c r="BL220" s="163"/>
      <c r="BM220" s="163"/>
      <c r="BN220" s="163"/>
      <c r="BO220" s="163"/>
      <c r="BP220" s="163"/>
      <c r="BQ220" s="163"/>
      <c r="BR220" s="163"/>
      <c r="BS220" s="163"/>
      <c r="BT220" s="163"/>
      <c r="BU220" s="163"/>
      <c r="BV220" s="163"/>
      <c r="BW220" s="163"/>
      <c r="BX220" s="163"/>
      <c r="BY220" s="163"/>
      <c r="BZ220" s="163"/>
      <c r="CA220" s="163"/>
      <c r="CB220" s="163"/>
      <c r="CC220" s="163"/>
      <c r="CF220" s="22"/>
      <c r="CG220" s="22"/>
      <c r="CH220" s="22"/>
      <c r="CI220" s="22"/>
      <c r="CJ220" s="22"/>
      <c r="CK220" s="22"/>
      <c r="CL220" s="22"/>
      <c r="CM220" s="22"/>
      <c r="CN220" s="22"/>
    </row>
    <row r="221" spans="2:92" x14ac:dyDescent="0.25">
      <c r="B221" s="171"/>
      <c r="C221" s="171"/>
      <c r="D221" s="171"/>
      <c r="E221" s="171"/>
      <c r="F221" s="171"/>
      <c r="G221" s="171"/>
      <c r="H221" s="171"/>
      <c r="I221" s="171"/>
      <c r="J221" s="171"/>
      <c r="K221" s="171"/>
      <c r="L221" s="171"/>
      <c r="M221" s="171"/>
      <c r="N221" s="171"/>
      <c r="O221" s="171"/>
      <c r="P221" s="171"/>
      <c r="Q221" s="171"/>
      <c r="AU221" s="163"/>
      <c r="AV221" s="163"/>
      <c r="AW221" s="163"/>
      <c r="AX221" s="163"/>
      <c r="AY221" s="163"/>
      <c r="AZ221" s="163"/>
      <c r="BA221" s="163"/>
      <c r="BB221" s="163"/>
      <c r="BC221" s="163"/>
      <c r="BD221" s="163"/>
      <c r="BE221" s="163"/>
      <c r="BF221" s="163"/>
      <c r="BG221" s="163"/>
      <c r="BH221" s="163"/>
      <c r="BI221" s="163"/>
      <c r="BJ221" s="163"/>
      <c r="BK221" s="163"/>
      <c r="BL221" s="163"/>
      <c r="BM221" s="163"/>
      <c r="BN221" s="163"/>
      <c r="BO221" s="163"/>
      <c r="BP221" s="163"/>
      <c r="BQ221" s="163"/>
      <c r="BR221" s="163"/>
      <c r="BS221" s="163"/>
      <c r="BT221" s="163"/>
      <c r="BU221" s="163"/>
      <c r="BV221" s="163"/>
      <c r="BW221" s="163"/>
      <c r="BX221" s="163"/>
      <c r="BY221" s="163"/>
      <c r="BZ221" s="163"/>
      <c r="CA221" s="163"/>
      <c r="CB221" s="163"/>
      <c r="CC221" s="163"/>
      <c r="CF221" s="22"/>
      <c r="CG221" s="22"/>
      <c r="CH221" s="22"/>
      <c r="CI221" s="22"/>
      <c r="CJ221" s="22"/>
      <c r="CK221" s="22"/>
      <c r="CL221" s="22"/>
      <c r="CM221" s="22"/>
      <c r="CN221" s="22"/>
    </row>
    <row r="222" spans="2:92" x14ac:dyDescent="0.25">
      <c r="B222" s="171"/>
      <c r="C222" s="171"/>
      <c r="D222" s="171"/>
      <c r="E222" s="171"/>
      <c r="F222" s="171"/>
      <c r="G222" s="171"/>
      <c r="H222" s="171"/>
      <c r="I222" s="171"/>
      <c r="J222" s="171"/>
      <c r="K222" s="171"/>
      <c r="L222" s="171"/>
      <c r="M222" s="171"/>
      <c r="N222" s="171"/>
      <c r="O222" s="171"/>
      <c r="P222" s="171"/>
      <c r="Q222" s="171"/>
      <c r="AU222" s="163"/>
      <c r="AV222" s="163"/>
      <c r="AW222" s="163"/>
      <c r="AX222" s="163"/>
      <c r="AY222" s="163"/>
      <c r="AZ222" s="163"/>
      <c r="BA222" s="163"/>
      <c r="BB222" s="163"/>
      <c r="BC222" s="163"/>
      <c r="BD222" s="163"/>
      <c r="BE222" s="163"/>
      <c r="BF222" s="163"/>
      <c r="BG222" s="163"/>
      <c r="BH222" s="163"/>
      <c r="BI222" s="163"/>
      <c r="BJ222" s="163"/>
      <c r="BK222" s="163"/>
      <c r="BL222" s="163"/>
      <c r="BM222" s="163"/>
      <c r="BN222" s="163"/>
      <c r="BO222" s="163"/>
      <c r="BP222" s="163"/>
      <c r="BQ222" s="163"/>
      <c r="BR222" s="163"/>
      <c r="BS222" s="163"/>
      <c r="BT222" s="163"/>
      <c r="BU222" s="163"/>
      <c r="BV222" s="163"/>
      <c r="BW222" s="163"/>
      <c r="BX222" s="163"/>
      <c r="BY222" s="163"/>
      <c r="BZ222" s="163"/>
      <c r="CA222" s="163"/>
      <c r="CB222" s="163"/>
      <c r="CC222" s="163"/>
    </row>
    <row r="223" spans="2:92" x14ac:dyDescent="0.25">
      <c r="B223" s="171"/>
      <c r="C223" s="171"/>
      <c r="D223" s="171"/>
      <c r="E223" s="171"/>
      <c r="F223" s="171"/>
      <c r="G223" s="171"/>
      <c r="H223" s="171"/>
      <c r="I223" s="171"/>
      <c r="J223" s="171"/>
      <c r="K223" s="171"/>
      <c r="L223" s="171"/>
      <c r="M223" s="171"/>
      <c r="N223" s="171"/>
      <c r="O223" s="171"/>
      <c r="P223" s="171"/>
      <c r="Q223" s="171"/>
      <c r="AU223" s="163"/>
      <c r="AV223" s="163"/>
      <c r="AW223" s="163"/>
      <c r="AX223" s="163"/>
      <c r="AY223" s="163"/>
      <c r="AZ223" s="163"/>
      <c r="BA223" s="163"/>
      <c r="BB223" s="163"/>
      <c r="BC223" s="163"/>
      <c r="BD223" s="163"/>
      <c r="BE223" s="163"/>
      <c r="BF223" s="163"/>
      <c r="BG223" s="163"/>
      <c r="BH223" s="163"/>
      <c r="BI223" s="163"/>
      <c r="BJ223" s="163"/>
      <c r="BK223" s="163"/>
      <c r="BL223" s="163"/>
      <c r="BM223" s="163"/>
      <c r="BN223" s="163"/>
      <c r="BO223" s="163"/>
      <c r="BP223" s="163"/>
      <c r="BQ223" s="163"/>
      <c r="BR223" s="163"/>
      <c r="BS223" s="163"/>
      <c r="BT223" s="163"/>
      <c r="BU223" s="163"/>
      <c r="BV223" s="163"/>
      <c r="BW223" s="163"/>
      <c r="BX223" s="163"/>
      <c r="BY223" s="163"/>
      <c r="BZ223" s="163"/>
      <c r="CA223" s="163"/>
      <c r="CB223" s="163"/>
      <c r="CC223" s="163"/>
    </row>
    <row r="224" spans="2:92" x14ac:dyDescent="0.25">
      <c r="B224" s="171"/>
      <c r="C224" s="171"/>
      <c r="D224" s="171"/>
      <c r="E224" s="171"/>
      <c r="F224" s="171"/>
      <c r="G224" s="171"/>
      <c r="H224" s="171"/>
      <c r="I224" s="171"/>
      <c r="J224" s="171"/>
      <c r="K224" s="171"/>
      <c r="L224" s="171"/>
      <c r="M224" s="171"/>
      <c r="N224" s="171"/>
      <c r="O224" s="171"/>
      <c r="P224" s="171"/>
      <c r="Q224" s="171"/>
      <c r="AU224" s="163"/>
      <c r="AV224" s="163"/>
      <c r="AW224" s="163"/>
      <c r="AX224" s="163"/>
      <c r="AY224" s="163"/>
      <c r="AZ224" s="163"/>
      <c r="BA224" s="163"/>
      <c r="BB224" s="163"/>
      <c r="BC224" s="163"/>
      <c r="BD224" s="163"/>
      <c r="BE224" s="163"/>
      <c r="BF224" s="163"/>
      <c r="BG224" s="163"/>
      <c r="BH224" s="163"/>
      <c r="BI224" s="163"/>
      <c r="BJ224" s="163"/>
      <c r="BK224" s="163"/>
      <c r="BL224" s="163"/>
      <c r="BM224" s="163"/>
      <c r="BN224" s="163"/>
      <c r="BO224" s="163"/>
      <c r="BP224" s="163"/>
      <c r="BQ224" s="163"/>
      <c r="BR224" s="163"/>
      <c r="BS224" s="163"/>
      <c r="BT224" s="163"/>
      <c r="BU224" s="163"/>
      <c r="BV224" s="163"/>
      <c r="BW224" s="163"/>
      <c r="BX224" s="163"/>
      <c r="BY224" s="163"/>
      <c r="BZ224" s="163"/>
      <c r="CA224" s="163"/>
      <c r="CB224" s="163"/>
      <c r="CC224" s="163"/>
    </row>
    <row r="225" spans="2:81" x14ac:dyDescent="0.25">
      <c r="B225" s="171"/>
      <c r="C225" s="171"/>
      <c r="D225" s="171"/>
      <c r="E225" s="171"/>
      <c r="F225" s="171"/>
      <c r="G225" s="171"/>
      <c r="H225" s="171"/>
      <c r="I225" s="171"/>
      <c r="J225" s="171"/>
      <c r="K225" s="171"/>
      <c r="L225" s="171"/>
      <c r="M225" s="171"/>
      <c r="N225" s="171"/>
      <c r="O225" s="171"/>
      <c r="P225" s="171"/>
      <c r="Q225" s="171"/>
      <c r="AU225" s="163"/>
      <c r="AV225" s="163"/>
      <c r="AW225" s="163"/>
      <c r="AX225" s="163"/>
      <c r="AY225" s="163"/>
      <c r="AZ225" s="163"/>
      <c r="BA225" s="163"/>
      <c r="BB225" s="163"/>
      <c r="BC225" s="163"/>
      <c r="BD225" s="163"/>
      <c r="BE225" s="163"/>
      <c r="BF225" s="163"/>
      <c r="BG225" s="163"/>
      <c r="BH225" s="163"/>
      <c r="BI225" s="163"/>
      <c r="BJ225" s="163"/>
      <c r="BK225" s="163"/>
      <c r="BL225" s="163"/>
      <c r="BM225" s="163"/>
      <c r="BN225" s="163"/>
      <c r="BO225" s="163"/>
      <c r="BP225" s="163"/>
      <c r="BQ225" s="163"/>
      <c r="BR225" s="163"/>
      <c r="BS225" s="163"/>
      <c r="BT225" s="163"/>
      <c r="BU225" s="163"/>
      <c r="BV225" s="163"/>
      <c r="BW225" s="163"/>
      <c r="BX225" s="163"/>
      <c r="BY225" s="163"/>
      <c r="BZ225" s="163"/>
      <c r="CA225" s="163"/>
      <c r="CB225" s="163"/>
      <c r="CC225" s="163"/>
    </row>
    <row r="226" spans="2:81" x14ac:dyDescent="0.25">
      <c r="B226" s="171"/>
      <c r="C226" s="171"/>
      <c r="D226" s="171"/>
      <c r="E226" s="171"/>
      <c r="F226" s="171"/>
      <c r="G226" s="171"/>
      <c r="H226" s="171"/>
      <c r="I226" s="171"/>
      <c r="J226" s="171"/>
      <c r="K226" s="171"/>
      <c r="L226" s="171"/>
      <c r="M226" s="171"/>
      <c r="N226" s="171"/>
      <c r="O226" s="171"/>
      <c r="P226" s="171"/>
      <c r="Q226" s="171"/>
      <c r="AU226" s="163"/>
      <c r="AV226" s="163"/>
      <c r="AW226" s="163"/>
      <c r="AX226" s="163"/>
      <c r="AY226" s="163"/>
      <c r="AZ226" s="163"/>
      <c r="BA226" s="163"/>
      <c r="BB226" s="163"/>
      <c r="BC226" s="163"/>
      <c r="BD226" s="163"/>
      <c r="BE226" s="163"/>
      <c r="BF226" s="163"/>
      <c r="BG226" s="163"/>
      <c r="BH226" s="163"/>
      <c r="BI226" s="163"/>
      <c r="BJ226" s="163"/>
      <c r="BK226" s="163"/>
      <c r="BL226" s="163"/>
      <c r="BM226" s="163"/>
      <c r="BN226" s="163"/>
      <c r="BO226" s="163"/>
      <c r="BP226" s="163"/>
      <c r="BQ226" s="163"/>
      <c r="BR226" s="163"/>
      <c r="BS226" s="163"/>
      <c r="BT226" s="163"/>
      <c r="BU226" s="163"/>
      <c r="BV226" s="163"/>
      <c r="BW226" s="163"/>
      <c r="BX226" s="163"/>
      <c r="BY226" s="163"/>
      <c r="BZ226" s="163"/>
      <c r="CA226" s="163"/>
      <c r="CB226" s="163"/>
      <c r="CC226" s="163"/>
    </row>
    <row r="227" spans="2:81" x14ac:dyDescent="0.25">
      <c r="B227" s="171"/>
      <c r="C227" s="171"/>
      <c r="D227" s="171"/>
      <c r="E227" s="171"/>
      <c r="F227" s="171"/>
      <c r="G227" s="171"/>
      <c r="H227" s="171"/>
      <c r="I227" s="171"/>
      <c r="J227" s="171"/>
      <c r="K227" s="171"/>
      <c r="L227" s="171"/>
      <c r="M227" s="171"/>
      <c r="N227" s="171"/>
      <c r="O227" s="171"/>
      <c r="P227" s="171"/>
      <c r="Q227" s="171"/>
      <c r="AU227" s="163"/>
      <c r="AV227" s="163"/>
      <c r="AW227" s="163"/>
      <c r="AX227" s="163"/>
      <c r="AY227" s="163"/>
      <c r="AZ227" s="163"/>
      <c r="BA227" s="163"/>
      <c r="BB227" s="163"/>
      <c r="BC227" s="163"/>
      <c r="BD227" s="163"/>
      <c r="BE227" s="163"/>
      <c r="BF227" s="163"/>
      <c r="BG227" s="163"/>
      <c r="BH227" s="163"/>
      <c r="BI227" s="163"/>
      <c r="BJ227" s="163"/>
      <c r="BK227" s="163"/>
      <c r="BL227" s="163"/>
      <c r="BM227" s="163"/>
      <c r="BN227" s="163"/>
      <c r="BO227" s="163"/>
      <c r="BP227" s="163"/>
      <c r="BQ227" s="163"/>
      <c r="BR227" s="163"/>
      <c r="BS227" s="163"/>
      <c r="BT227" s="163"/>
      <c r="BU227" s="163"/>
      <c r="BV227" s="163"/>
      <c r="BW227" s="163"/>
      <c r="BX227" s="163"/>
      <c r="BY227" s="163"/>
      <c r="BZ227" s="163"/>
      <c r="CA227" s="163"/>
      <c r="CB227" s="163"/>
      <c r="CC227" s="163"/>
    </row>
    <row r="228" spans="2:81" x14ac:dyDescent="0.25">
      <c r="B228" s="171"/>
      <c r="C228" s="171"/>
      <c r="D228" s="171"/>
      <c r="E228" s="171"/>
      <c r="F228" s="171"/>
      <c r="G228" s="171"/>
      <c r="H228" s="171"/>
      <c r="I228" s="171"/>
      <c r="J228" s="171"/>
      <c r="K228" s="171"/>
      <c r="L228" s="171"/>
      <c r="M228" s="171"/>
      <c r="N228" s="171"/>
      <c r="O228" s="171"/>
      <c r="P228" s="171"/>
      <c r="Q228" s="171"/>
      <c r="AU228" s="163"/>
      <c r="AV228" s="163"/>
      <c r="AW228" s="163"/>
      <c r="AX228" s="163"/>
      <c r="AY228" s="163"/>
      <c r="AZ228" s="163"/>
      <c r="BA228" s="163"/>
      <c r="BB228" s="163"/>
      <c r="BC228" s="163"/>
      <c r="BD228" s="163"/>
      <c r="BE228" s="163"/>
      <c r="BF228" s="163"/>
      <c r="BG228" s="163"/>
      <c r="BH228" s="163"/>
      <c r="BI228" s="163"/>
      <c r="BJ228" s="163"/>
      <c r="BK228" s="163"/>
      <c r="BL228" s="163"/>
      <c r="BM228" s="163"/>
      <c r="BN228" s="163"/>
      <c r="BO228" s="163"/>
      <c r="BP228" s="163"/>
      <c r="BQ228" s="163"/>
      <c r="BR228" s="163"/>
      <c r="BS228" s="163"/>
      <c r="BT228" s="163"/>
      <c r="BU228" s="163"/>
      <c r="BV228" s="163"/>
      <c r="BW228" s="163"/>
      <c r="BX228" s="163"/>
      <c r="BY228" s="163"/>
      <c r="BZ228" s="163"/>
      <c r="CA228" s="163"/>
      <c r="CB228" s="163"/>
      <c r="CC228" s="163"/>
    </row>
    <row r="229" spans="2:81" x14ac:dyDescent="0.25">
      <c r="B229" s="171"/>
      <c r="C229" s="171"/>
      <c r="D229" s="171"/>
      <c r="E229" s="171"/>
      <c r="F229" s="171"/>
      <c r="G229" s="171"/>
      <c r="H229" s="171"/>
      <c r="I229" s="171"/>
      <c r="J229" s="171"/>
      <c r="K229" s="171"/>
      <c r="L229" s="171"/>
      <c r="M229" s="171"/>
      <c r="N229" s="171"/>
      <c r="O229" s="171"/>
      <c r="P229" s="171"/>
      <c r="Q229" s="171"/>
      <c r="AU229" s="163"/>
      <c r="AV229" s="163"/>
      <c r="AW229" s="163"/>
      <c r="AX229" s="163"/>
      <c r="AY229" s="163"/>
      <c r="AZ229" s="163"/>
      <c r="BA229" s="163"/>
      <c r="BB229" s="163"/>
      <c r="BC229" s="163"/>
      <c r="BD229" s="163"/>
      <c r="BE229" s="163"/>
      <c r="BF229" s="163"/>
      <c r="BG229" s="163"/>
      <c r="BH229" s="163"/>
      <c r="BI229" s="163"/>
      <c r="BJ229" s="163"/>
      <c r="BK229" s="163"/>
      <c r="BL229" s="163"/>
      <c r="BM229" s="163"/>
      <c r="BN229" s="163"/>
      <c r="BO229" s="163"/>
      <c r="BP229" s="163"/>
      <c r="BQ229" s="163"/>
      <c r="BR229" s="163"/>
      <c r="BS229" s="163"/>
      <c r="BT229" s="163"/>
      <c r="BU229" s="163"/>
      <c r="BV229" s="163"/>
      <c r="BW229" s="163"/>
      <c r="BX229" s="163"/>
      <c r="BY229" s="163"/>
      <c r="BZ229" s="163"/>
      <c r="CA229" s="163"/>
      <c r="CB229" s="163"/>
      <c r="CC229" s="163"/>
    </row>
    <row r="230" spans="2:81" x14ac:dyDescent="0.25">
      <c r="B230" s="171"/>
      <c r="C230" s="171"/>
      <c r="D230" s="171"/>
      <c r="E230" s="171"/>
      <c r="F230" s="171"/>
      <c r="G230" s="171"/>
      <c r="H230" s="171"/>
      <c r="I230" s="171"/>
      <c r="J230" s="171"/>
      <c r="K230" s="171"/>
      <c r="L230" s="171"/>
      <c r="M230" s="171"/>
      <c r="N230" s="171"/>
      <c r="O230" s="171"/>
      <c r="P230" s="171"/>
      <c r="Q230" s="171"/>
      <c r="AU230" s="163"/>
      <c r="AV230" s="163"/>
      <c r="AW230" s="163"/>
      <c r="AX230" s="163"/>
      <c r="AY230" s="163"/>
      <c r="AZ230" s="163"/>
      <c r="BA230" s="163"/>
      <c r="BB230" s="163"/>
      <c r="BC230" s="163"/>
      <c r="BD230" s="163"/>
      <c r="BE230" s="163"/>
      <c r="BF230" s="163"/>
      <c r="BG230" s="163"/>
      <c r="BH230" s="163"/>
      <c r="BI230" s="163"/>
      <c r="BJ230" s="163"/>
      <c r="BK230" s="163"/>
      <c r="BL230" s="163"/>
      <c r="BM230" s="163"/>
      <c r="BN230" s="163"/>
      <c r="BO230" s="163"/>
      <c r="BP230" s="163"/>
      <c r="BQ230" s="163"/>
      <c r="BR230" s="163"/>
      <c r="BS230" s="163"/>
      <c r="BT230" s="163"/>
      <c r="BU230" s="163"/>
      <c r="BV230" s="163"/>
      <c r="BW230" s="163"/>
      <c r="BX230" s="163"/>
      <c r="BY230" s="163"/>
      <c r="BZ230" s="163"/>
      <c r="CA230" s="163"/>
      <c r="CB230" s="163"/>
      <c r="CC230" s="163"/>
    </row>
    <row r="231" spans="2:81" x14ac:dyDescent="0.25">
      <c r="B231" s="171"/>
      <c r="C231" s="171"/>
      <c r="D231" s="171"/>
      <c r="E231" s="171"/>
      <c r="F231" s="171"/>
      <c r="G231" s="171"/>
      <c r="H231" s="171"/>
      <c r="I231" s="171"/>
      <c r="J231" s="171"/>
      <c r="K231" s="171"/>
      <c r="L231" s="171"/>
      <c r="M231" s="171"/>
      <c r="N231" s="171"/>
      <c r="O231" s="171"/>
      <c r="P231" s="171"/>
      <c r="Q231" s="171"/>
      <c r="AU231" s="163"/>
      <c r="AV231" s="163"/>
      <c r="AW231" s="163"/>
      <c r="AX231" s="163"/>
      <c r="AY231" s="163"/>
      <c r="AZ231" s="163"/>
      <c r="BA231" s="163"/>
      <c r="BB231" s="163"/>
      <c r="BC231" s="163"/>
      <c r="BD231" s="163"/>
      <c r="BE231" s="163"/>
      <c r="BF231" s="163"/>
      <c r="BG231" s="163"/>
      <c r="BH231" s="163"/>
      <c r="BI231" s="163"/>
      <c r="BJ231" s="163"/>
      <c r="BK231" s="163"/>
      <c r="BL231" s="163"/>
      <c r="BM231" s="163"/>
      <c r="BN231" s="163"/>
      <c r="BO231" s="163"/>
      <c r="BP231" s="163"/>
      <c r="BQ231" s="163"/>
      <c r="BR231" s="163"/>
      <c r="BS231" s="163"/>
      <c r="BT231" s="163"/>
      <c r="BU231" s="163"/>
      <c r="BV231" s="163"/>
      <c r="BW231" s="163"/>
      <c r="BX231" s="163"/>
      <c r="BY231" s="163"/>
      <c r="BZ231" s="163"/>
      <c r="CA231" s="163"/>
      <c r="CB231" s="163"/>
      <c r="CC231" s="163"/>
    </row>
    <row r="232" spans="2:81" x14ac:dyDescent="0.25">
      <c r="B232" s="171"/>
      <c r="C232" s="171"/>
      <c r="D232" s="171"/>
      <c r="E232" s="171"/>
      <c r="F232" s="171"/>
      <c r="G232" s="171"/>
      <c r="H232" s="171"/>
      <c r="I232" s="171"/>
      <c r="J232" s="171"/>
      <c r="K232" s="171"/>
      <c r="L232" s="171"/>
      <c r="M232" s="179"/>
      <c r="N232" s="171"/>
      <c r="O232" s="171"/>
      <c r="P232" s="171"/>
      <c r="Q232" s="171"/>
      <c r="AU232" s="163"/>
      <c r="AV232" s="163"/>
      <c r="AW232" s="163"/>
      <c r="AX232" s="163"/>
      <c r="AY232" s="163"/>
      <c r="AZ232" s="163"/>
      <c r="BA232" s="163"/>
      <c r="BB232" s="163"/>
      <c r="BC232" s="163"/>
      <c r="BD232" s="163"/>
      <c r="BE232" s="163"/>
      <c r="BF232" s="163"/>
      <c r="BG232" s="163"/>
      <c r="BH232" s="163"/>
      <c r="BI232" s="163"/>
      <c r="BJ232" s="163"/>
      <c r="BK232" s="163"/>
      <c r="BL232" s="163"/>
      <c r="BM232" s="163"/>
      <c r="BN232" s="163"/>
      <c r="BO232" s="163"/>
      <c r="BP232" s="163"/>
      <c r="BQ232" s="163"/>
      <c r="BR232" s="163"/>
      <c r="BS232" s="163"/>
      <c r="BT232" s="163"/>
      <c r="BU232" s="163"/>
      <c r="BV232" s="163"/>
      <c r="BW232" s="163"/>
      <c r="BX232" s="163"/>
      <c r="BY232" s="163"/>
      <c r="BZ232" s="163"/>
      <c r="CA232" s="163"/>
      <c r="CB232" s="163"/>
      <c r="CC232" s="163"/>
    </row>
    <row r="233" spans="2:81" x14ac:dyDescent="0.25">
      <c r="B233" s="171"/>
      <c r="C233" s="171"/>
      <c r="D233" s="171"/>
      <c r="E233" s="171"/>
      <c r="F233" s="171"/>
      <c r="G233" s="171"/>
      <c r="H233" s="171"/>
      <c r="I233" s="171"/>
      <c r="J233" s="171"/>
      <c r="K233" s="171"/>
      <c r="L233" s="171"/>
      <c r="M233" s="171"/>
      <c r="N233" s="171"/>
      <c r="O233" s="171"/>
      <c r="P233" s="171"/>
      <c r="Q233" s="171"/>
      <c r="AU233" s="163"/>
      <c r="AV233" s="163"/>
      <c r="AW233" s="163"/>
      <c r="AX233" s="163"/>
      <c r="AY233" s="163"/>
      <c r="AZ233" s="163"/>
      <c r="BA233" s="163"/>
      <c r="BB233" s="163"/>
      <c r="BC233" s="163"/>
      <c r="BD233" s="163"/>
      <c r="BE233" s="163"/>
      <c r="BF233" s="163"/>
      <c r="BG233" s="163"/>
      <c r="BH233" s="163"/>
      <c r="BI233" s="163"/>
      <c r="BJ233" s="163"/>
      <c r="BK233" s="163"/>
      <c r="BL233" s="163"/>
      <c r="BM233" s="163"/>
      <c r="BN233" s="163"/>
      <c r="BO233" s="163"/>
      <c r="BP233" s="163"/>
      <c r="BQ233" s="163"/>
      <c r="BR233" s="163"/>
      <c r="BS233" s="163"/>
      <c r="BT233" s="163"/>
      <c r="BU233" s="163"/>
      <c r="BV233" s="163"/>
      <c r="BW233" s="163"/>
      <c r="BX233" s="163"/>
      <c r="BY233" s="163"/>
      <c r="BZ233" s="163"/>
      <c r="CA233" s="163"/>
      <c r="CB233" s="163"/>
      <c r="CC233" s="163"/>
    </row>
    <row r="234" spans="2:81" x14ac:dyDescent="0.25">
      <c r="B234" s="171"/>
      <c r="C234" s="171"/>
      <c r="D234" s="171"/>
      <c r="E234" s="171"/>
      <c r="F234" s="171"/>
      <c r="G234" s="171"/>
      <c r="H234" s="171"/>
      <c r="I234" s="171"/>
      <c r="J234" s="171"/>
      <c r="K234" s="171"/>
      <c r="L234" s="171"/>
      <c r="M234" s="171"/>
      <c r="N234" s="171"/>
      <c r="O234" s="171"/>
      <c r="P234" s="171"/>
      <c r="Q234" s="171"/>
      <c r="AU234" s="163"/>
      <c r="AV234" s="163"/>
      <c r="AW234" s="163"/>
      <c r="AX234" s="163"/>
      <c r="AY234" s="163"/>
      <c r="AZ234" s="163"/>
      <c r="BA234" s="163"/>
      <c r="BB234" s="163"/>
      <c r="BC234" s="163"/>
      <c r="BD234" s="163"/>
      <c r="BE234" s="163"/>
      <c r="BF234" s="163"/>
      <c r="BG234" s="163"/>
      <c r="BH234" s="163"/>
      <c r="BI234" s="163"/>
      <c r="BJ234" s="163"/>
      <c r="BK234" s="163"/>
      <c r="BL234" s="163"/>
      <c r="BM234" s="163"/>
      <c r="BN234" s="163"/>
      <c r="BO234" s="163"/>
      <c r="BP234" s="163"/>
      <c r="BQ234" s="163"/>
      <c r="BR234" s="163"/>
      <c r="BS234" s="163"/>
      <c r="BT234" s="163"/>
      <c r="BU234" s="163"/>
      <c r="BV234" s="163"/>
      <c r="BW234" s="163"/>
      <c r="BX234" s="163"/>
      <c r="BY234" s="163"/>
      <c r="BZ234" s="163"/>
      <c r="CA234" s="163"/>
      <c r="CB234" s="163"/>
      <c r="CC234" s="163"/>
    </row>
    <row r="235" spans="2:81" x14ac:dyDescent="0.25">
      <c r="B235" s="171"/>
      <c r="C235" s="171"/>
      <c r="D235" s="171"/>
      <c r="E235" s="171"/>
      <c r="F235" s="171"/>
      <c r="G235" s="171"/>
      <c r="H235" s="171"/>
      <c r="I235" s="171"/>
      <c r="J235" s="171"/>
      <c r="K235" s="171"/>
      <c r="L235" s="171"/>
      <c r="M235" s="171"/>
      <c r="N235" s="171"/>
      <c r="O235" s="171"/>
      <c r="P235" s="171"/>
      <c r="Q235" s="171"/>
      <c r="AU235" s="163"/>
      <c r="AV235" s="163"/>
      <c r="AW235" s="163"/>
      <c r="AX235" s="163"/>
      <c r="AY235" s="163"/>
      <c r="AZ235" s="163"/>
      <c r="BA235" s="163"/>
      <c r="BB235" s="163"/>
      <c r="BC235" s="163"/>
      <c r="BD235" s="163"/>
      <c r="BE235" s="163"/>
      <c r="BF235" s="163"/>
      <c r="BG235" s="163"/>
      <c r="BH235" s="163"/>
      <c r="BI235" s="163"/>
      <c r="BJ235" s="163"/>
      <c r="BK235" s="163"/>
      <c r="BL235" s="163"/>
      <c r="BM235" s="163"/>
      <c r="BN235" s="163"/>
      <c r="BO235" s="163"/>
      <c r="BP235" s="163"/>
      <c r="BQ235" s="163"/>
      <c r="BR235" s="163"/>
      <c r="BS235" s="163"/>
      <c r="BT235" s="163"/>
      <c r="BU235" s="163"/>
      <c r="BV235" s="163"/>
      <c r="BW235" s="163"/>
      <c r="BX235" s="163"/>
      <c r="BY235" s="163"/>
      <c r="BZ235" s="163"/>
      <c r="CA235" s="163"/>
      <c r="CB235" s="163"/>
      <c r="CC235" s="163"/>
    </row>
    <row r="236" spans="2:81" x14ac:dyDescent="0.25">
      <c r="B236" s="171"/>
      <c r="C236" s="171"/>
      <c r="D236" s="171"/>
      <c r="E236" s="171"/>
      <c r="F236" s="171"/>
      <c r="G236" s="171"/>
      <c r="H236" s="171"/>
      <c r="I236" s="171"/>
      <c r="J236" s="171"/>
      <c r="K236" s="171"/>
      <c r="L236" s="171"/>
      <c r="M236" s="171"/>
      <c r="N236" s="171"/>
      <c r="O236" s="171"/>
      <c r="P236" s="171"/>
      <c r="Q236" s="171"/>
      <c r="AU236" s="163"/>
      <c r="AV236" s="163"/>
      <c r="AW236" s="163"/>
      <c r="AX236" s="163"/>
      <c r="AY236" s="163"/>
      <c r="AZ236" s="163"/>
      <c r="BA236" s="163"/>
      <c r="BB236" s="163"/>
      <c r="BC236" s="163"/>
      <c r="BD236" s="163"/>
      <c r="BE236" s="163"/>
      <c r="BF236" s="163"/>
      <c r="BG236" s="163"/>
      <c r="BH236" s="163"/>
      <c r="BI236" s="163"/>
      <c r="BJ236" s="163"/>
      <c r="BK236" s="163"/>
      <c r="BL236" s="163"/>
      <c r="BM236" s="163"/>
      <c r="BN236" s="163"/>
      <c r="BO236" s="163"/>
      <c r="BP236" s="163"/>
      <c r="BQ236" s="163"/>
      <c r="BR236" s="163"/>
      <c r="BS236" s="163"/>
      <c r="BT236" s="163"/>
      <c r="BU236" s="163"/>
      <c r="BV236" s="163"/>
      <c r="BW236" s="163"/>
      <c r="BX236" s="163"/>
      <c r="BY236" s="163"/>
      <c r="BZ236" s="163"/>
      <c r="CA236" s="163"/>
      <c r="CB236" s="163"/>
      <c r="CC236" s="163"/>
    </row>
    <row r="237" spans="2:81" x14ac:dyDescent="0.25">
      <c r="B237" s="171"/>
      <c r="C237" s="171"/>
      <c r="D237" s="171"/>
      <c r="E237" s="171"/>
      <c r="F237" s="171"/>
      <c r="G237" s="171"/>
      <c r="H237" s="171"/>
      <c r="I237" s="171"/>
      <c r="J237" s="171"/>
      <c r="K237" s="171"/>
      <c r="L237" s="171"/>
      <c r="M237" s="171"/>
      <c r="N237" s="171"/>
      <c r="O237" s="171"/>
      <c r="P237" s="171"/>
      <c r="Q237" s="171"/>
      <c r="AU237" s="163"/>
      <c r="AV237" s="163"/>
      <c r="AW237" s="163"/>
      <c r="AX237" s="163"/>
      <c r="AY237" s="163"/>
      <c r="AZ237" s="163"/>
      <c r="BA237" s="163"/>
      <c r="BB237" s="163"/>
      <c r="BC237" s="163"/>
      <c r="BD237" s="163"/>
      <c r="BE237" s="163"/>
      <c r="BF237" s="163"/>
      <c r="BG237" s="163"/>
      <c r="BH237" s="163"/>
      <c r="BI237" s="163"/>
      <c r="BJ237" s="163"/>
      <c r="BK237" s="163"/>
      <c r="BL237" s="163"/>
      <c r="BM237" s="163"/>
      <c r="BN237" s="163"/>
      <c r="BO237" s="163"/>
      <c r="BP237" s="163"/>
      <c r="BQ237" s="163"/>
      <c r="BR237" s="163"/>
      <c r="BS237" s="163"/>
      <c r="BT237" s="163"/>
      <c r="BU237" s="163"/>
      <c r="BV237" s="163"/>
      <c r="BW237" s="163"/>
      <c r="BX237" s="163"/>
      <c r="BY237" s="163"/>
      <c r="BZ237" s="163"/>
      <c r="CA237" s="163"/>
      <c r="CB237" s="163"/>
      <c r="CC237" s="163"/>
    </row>
    <row r="238" spans="2:81" x14ac:dyDescent="0.25">
      <c r="B238" s="171"/>
      <c r="C238" s="171"/>
      <c r="D238" s="171"/>
      <c r="E238" s="171"/>
      <c r="F238" s="171"/>
      <c r="G238" s="171"/>
      <c r="H238" s="171"/>
      <c r="I238" s="171"/>
      <c r="J238" s="171"/>
      <c r="K238" s="171"/>
      <c r="L238" s="171"/>
      <c r="M238" s="171"/>
      <c r="N238" s="171"/>
      <c r="O238" s="171"/>
      <c r="P238" s="171"/>
      <c r="Q238" s="171"/>
      <c r="AU238" s="163"/>
      <c r="AV238" s="163"/>
      <c r="AW238" s="163"/>
      <c r="AX238" s="163"/>
      <c r="AY238" s="163"/>
      <c r="AZ238" s="163"/>
      <c r="BA238" s="163"/>
      <c r="BB238" s="163"/>
      <c r="BC238" s="163"/>
      <c r="BD238" s="163"/>
      <c r="BE238" s="163"/>
      <c r="BF238" s="163"/>
      <c r="BG238" s="163"/>
      <c r="BH238" s="163"/>
      <c r="BI238" s="163"/>
      <c r="BJ238" s="163"/>
      <c r="BK238" s="163"/>
      <c r="BL238" s="163"/>
      <c r="BM238" s="163"/>
      <c r="BN238" s="163"/>
      <c r="BO238" s="163"/>
      <c r="BP238" s="163"/>
      <c r="BQ238" s="163"/>
      <c r="BR238" s="163"/>
      <c r="BS238" s="163"/>
      <c r="BT238" s="163"/>
      <c r="BU238" s="163"/>
      <c r="BV238" s="163"/>
      <c r="BW238" s="163"/>
      <c r="BX238" s="163"/>
      <c r="BY238" s="163"/>
      <c r="BZ238" s="163"/>
      <c r="CA238" s="163"/>
      <c r="CB238" s="163"/>
      <c r="CC238" s="163"/>
    </row>
    <row r="239" spans="2:81" x14ac:dyDescent="0.25">
      <c r="B239" s="171"/>
      <c r="C239" s="171"/>
      <c r="D239" s="171"/>
      <c r="E239" s="171"/>
      <c r="F239" s="171"/>
      <c r="G239" s="171"/>
      <c r="H239" s="171"/>
      <c r="I239" s="171"/>
      <c r="J239" s="171"/>
      <c r="K239" s="171"/>
      <c r="L239" s="171"/>
      <c r="M239" s="171"/>
      <c r="N239" s="171"/>
      <c r="O239" s="171"/>
      <c r="P239" s="171"/>
      <c r="Q239" s="171"/>
      <c r="AU239" s="163"/>
      <c r="AV239" s="163"/>
      <c r="AW239" s="163"/>
      <c r="AX239" s="163"/>
      <c r="AY239" s="163"/>
      <c r="AZ239" s="163"/>
      <c r="BA239" s="163"/>
      <c r="BB239" s="163"/>
      <c r="BC239" s="163"/>
      <c r="BD239" s="163"/>
      <c r="BE239" s="163"/>
      <c r="BF239" s="163"/>
      <c r="BG239" s="163"/>
      <c r="BH239" s="163"/>
      <c r="BI239" s="163"/>
      <c r="BJ239" s="163"/>
      <c r="BK239" s="163"/>
      <c r="BL239" s="163"/>
      <c r="BM239" s="163"/>
      <c r="BN239" s="163"/>
      <c r="BO239" s="163"/>
      <c r="BP239" s="163"/>
      <c r="BQ239" s="163"/>
      <c r="BR239" s="163"/>
      <c r="BS239" s="163"/>
      <c r="BT239" s="163"/>
      <c r="BU239" s="163"/>
      <c r="BV239" s="163"/>
      <c r="BW239" s="163"/>
      <c r="BX239" s="163"/>
      <c r="BY239" s="163"/>
      <c r="BZ239" s="163"/>
      <c r="CA239" s="163"/>
      <c r="CB239" s="163"/>
      <c r="CC239" s="163"/>
    </row>
    <row r="240" spans="2:81" x14ac:dyDescent="0.25">
      <c r="B240" s="171"/>
      <c r="C240" s="171"/>
      <c r="D240" s="171"/>
      <c r="E240" s="171"/>
      <c r="F240" s="171"/>
      <c r="G240" s="171"/>
      <c r="H240" s="171"/>
      <c r="I240" s="171"/>
      <c r="J240" s="171"/>
      <c r="K240" s="171"/>
      <c r="L240" s="171"/>
      <c r="M240" s="171"/>
      <c r="N240" s="171"/>
      <c r="O240" s="171"/>
      <c r="P240" s="171"/>
      <c r="Q240" s="171"/>
      <c r="AU240" s="163"/>
      <c r="AV240" s="163"/>
      <c r="AW240" s="163"/>
      <c r="AX240" s="163"/>
      <c r="AY240" s="163"/>
      <c r="AZ240" s="163"/>
      <c r="BA240" s="163"/>
      <c r="BB240" s="163"/>
      <c r="BC240" s="163"/>
      <c r="BD240" s="163"/>
      <c r="BE240" s="163"/>
      <c r="BF240" s="163"/>
      <c r="BG240" s="163"/>
      <c r="BH240" s="163"/>
      <c r="BI240" s="163"/>
      <c r="BJ240" s="163"/>
      <c r="BK240" s="163"/>
      <c r="BL240" s="163"/>
      <c r="BM240" s="163"/>
      <c r="BN240" s="163"/>
      <c r="BO240" s="163"/>
      <c r="BP240" s="163"/>
      <c r="BQ240" s="163"/>
      <c r="BR240" s="163"/>
      <c r="BS240" s="163"/>
      <c r="BT240" s="163"/>
      <c r="BU240" s="163"/>
      <c r="BV240" s="163"/>
      <c r="BW240" s="163"/>
      <c r="BX240" s="163"/>
      <c r="BY240" s="163"/>
      <c r="BZ240" s="163"/>
      <c r="CA240" s="163"/>
      <c r="CB240" s="163"/>
      <c r="CC240" s="163"/>
    </row>
    <row r="241" spans="2:81" x14ac:dyDescent="0.25">
      <c r="B241" s="171"/>
      <c r="C241" s="171"/>
      <c r="D241" s="171"/>
      <c r="E241" s="171"/>
      <c r="F241" s="171"/>
      <c r="G241" s="171"/>
      <c r="H241" s="171"/>
      <c r="I241" s="171"/>
      <c r="J241" s="171"/>
      <c r="K241" s="171"/>
      <c r="L241" s="171"/>
      <c r="M241" s="171"/>
      <c r="N241" s="171"/>
      <c r="O241" s="171"/>
      <c r="P241" s="171"/>
      <c r="Q241" s="171"/>
      <c r="AU241" s="163"/>
      <c r="AV241" s="163"/>
      <c r="AW241" s="163"/>
      <c r="AX241" s="163"/>
      <c r="AY241" s="163"/>
      <c r="AZ241" s="163"/>
      <c r="BA241" s="163"/>
      <c r="BB241" s="163"/>
      <c r="BC241" s="163"/>
      <c r="BD241" s="163"/>
      <c r="BE241" s="163"/>
      <c r="BF241" s="163"/>
      <c r="BG241" s="163"/>
      <c r="BH241" s="163"/>
      <c r="BI241" s="163"/>
      <c r="BJ241" s="163"/>
      <c r="BK241" s="163"/>
      <c r="BL241" s="163"/>
      <c r="BM241" s="163"/>
      <c r="BN241" s="163"/>
      <c r="BO241" s="163"/>
      <c r="BP241" s="163"/>
      <c r="BQ241" s="163"/>
      <c r="BR241" s="163"/>
      <c r="BS241" s="163"/>
      <c r="BT241" s="163"/>
      <c r="BU241" s="163"/>
      <c r="BV241" s="163"/>
      <c r="BW241" s="163"/>
      <c r="BX241" s="163"/>
      <c r="BY241" s="163"/>
      <c r="BZ241" s="163"/>
      <c r="CA241" s="163"/>
      <c r="CB241" s="163"/>
      <c r="CC241" s="163"/>
    </row>
    <row r="242" spans="2:81" x14ac:dyDescent="0.25">
      <c r="B242" s="171"/>
      <c r="C242" s="171"/>
      <c r="D242" s="171"/>
      <c r="E242" s="171"/>
      <c r="F242" s="171"/>
      <c r="G242" s="171"/>
      <c r="H242" s="171"/>
      <c r="I242" s="171"/>
      <c r="J242" s="171"/>
      <c r="K242" s="171"/>
      <c r="L242" s="171"/>
      <c r="M242" s="171"/>
      <c r="N242" s="171"/>
      <c r="O242" s="171"/>
      <c r="P242" s="171"/>
      <c r="Q242" s="171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</row>
    <row r="243" spans="2:81" x14ac:dyDescent="0.25">
      <c r="B243" s="171"/>
      <c r="C243" s="171"/>
      <c r="D243" s="171"/>
      <c r="E243" s="171"/>
      <c r="F243" s="171"/>
      <c r="G243" s="171"/>
      <c r="H243" s="171"/>
      <c r="I243" s="171"/>
      <c r="J243" s="171"/>
      <c r="K243" s="171"/>
      <c r="L243" s="171"/>
      <c r="M243" s="171"/>
      <c r="N243" s="171"/>
      <c r="O243" s="171"/>
      <c r="P243" s="171"/>
      <c r="Q243" s="171"/>
      <c r="S243" s="22"/>
      <c r="T243" s="22"/>
      <c r="U243" s="22"/>
      <c r="V243" s="22"/>
      <c r="W243" s="22"/>
      <c r="X243" s="22"/>
      <c r="Y243" s="22"/>
      <c r="Z243" s="22"/>
      <c r="AA243" s="22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</row>
    <row r="244" spans="2:81" x14ac:dyDescent="0.25">
      <c r="B244" s="179"/>
      <c r="C244" s="179"/>
      <c r="D244" s="179"/>
      <c r="E244" s="179"/>
      <c r="F244" s="179"/>
      <c r="G244" s="179"/>
      <c r="H244" s="179"/>
      <c r="I244" s="179"/>
      <c r="J244" s="179"/>
      <c r="K244" s="179"/>
      <c r="L244" s="179"/>
      <c r="M244" s="171"/>
      <c r="N244" s="171"/>
      <c r="O244" s="171"/>
      <c r="P244" s="171"/>
      <c r="Q244" s="171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</row>
    <row r="245" spans="2:81" x14ac:dyDescent="0.25">
      <c r="B245" s="171"/>
      <c r="C245" s="171"/>
      <c r="D245" s="171"/>
      <c r="E245" s="171"/>
      <c r="F245" s="171"/>
      <c r="G245" s="171"/>
      <c r="H245" s="171"/>
      <c r="I245" s="171"/>
      <c r="J245" s="171"/>
      <c r="K245" s="171"/>
      <c r="L245" s="171"/>
      <c r="M245" s="171"/>
      <c r="N245" s="171"/>
      <c r="O245" s="171"/>
      <c r="P245" s="171"/>
      <c r="Q245" s="171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</row>
    <row r="246" spans="2:81" x14ac:dyDescent="0.25">
      <c r="B246" s="171"/>
      <c r="C246" s="171"/>
      <c r="D246" s="171"/>
      <c r="E246" s="171"/>
      <c r="F246" s="171"/>
      <c r="G246" s="171"/>
      <c r="H246" s="171"/>
      <c r="I246" s="171"/>
      <c r="J246" s="171"/>
      <c r="K246" s="171"/>
      <c r="L246" s="171"/>
      <c r="M246" s="171"/>
      <c r="N246" s="171"/>
      <c r="O246" s="171"/>
      <c r="P246" s="179"/>
      <c r="Q246" s="179"/>
      <c r="R246" s="22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</row>
    <row r="247" spans="2:81" x14ac:dyDescent="0.25">
      <c r="B247" s="171"/>
      <c r="C247" s="171"/>
      <c r="D247" s="171"/>
      <c r="E247" s="171"/>
      <c r="F247" s="171"/>
      <c r="G247" s="171"/>
      <c r="H247" s="171"/>
      <c r="I247" s="171"/>
      <c r="J247" s="171"/>
      <c r="K247" s="171"/>
      <c r="L247" s="171"/>
      <c r="M247" s="171"/>
      <c r="N247" s="171"/>
      <c r="O247" s="171"/>
      <c r="P247" s="171"/>
      <c r="Q247" s="171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</row>
    <row r="248" spans="2:81" x14ac:dyDescent="0.25">
      <c r="B248" s="171"/>
      <c r="C248" s="171"/>
      <c r="D248" s="171"/>
      <c r="E248" s="171"/>
      <c r="F248" s="171"/>
      <c r="G248" s="171"/>
      <c r="H248" s="171"/>
      <c r="I248" s="171"/>
      <c r="J248" s="171"/>
      <c r="K248" s="171"/>
      <c r="L248" s="171"/>
      <c r="M248" s="171"/>
      <c r="N248" s="171"/>
      <c r="O248" s="171"/>
      <c r="P248" s="171"/>
      <c r="Q248" s="171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</row>
    <row r="249" spans="2:81" x14ac:dyDescent="0.25">
      <c r="B249" s="171"/>
      <c r="C249" s="171"/>
      <c r="D249" s="171"/>
      <c r="E249" s="171"/>
      <c r="F249" s="171"/>
      <c r="G249" s="171"/>
      <c r="H249" s="171"/>
      <c r="I249" s="171"/>
      <c r="J249" s="171"/>
      <c r="K249" s="171"/>
      <c r="L249" s="171"/>
      <c r="M249" s="171"/>
      <c r="N249" s="171"/>
      <c r="O249" s="171"/>
      <c r="P249" s="171"/>
      <c r="Q249" s="171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</row>
    <row r="250" spans="2:81" x14ac:dyDescent="0.25">
      <c r="B250" s="171"/>
      <c r="C250" s="171"/>
      <c r="D250" s="171"/>
      <c r="E250" s="171"/>
      <c r="F250" s="171"/>
      <c r="G250" s="171"/>
      <c r="H250" s="171"/>
      <c r="I250" s="171"/>
      <c r="J250" s="171"/>
      <c r="K250" s="171"/>
      <c r="L250" s="171"/>
      <c r="M250" s="171"/>
      <c r="N250" s="171"/>
      <c r="O250" s="171"/>
      <c r="P250" s="171"/>
      <c r="Q250" s="171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</row>
    <row r="251" spans="2:81" x14ac:dyDescent="0.25">
      <c r="B251" s="171"/>
      <c r="C251" s="171"/>
      <c r="D251" s="171"/>
      <c r="E251" s="171"/>
      <c r="F251" s="171"/>
      <c r="G251" s="171"/>
      <c r="H251" s="171"/>
      <c r="I251" s="171"/>
      <c r="J251" s="171"/>
      <c r="K251" s="171"/>
      <c r="L251" s="171"/>
      <c r="M251" s="171"/>
      <c r="N251" s="171"/>
      <c r="O251" s="171"/>
      <c r="P251" s="171"/>
      <c r="Q251" s="171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</row>
    <row r="252" spans="2:81" x14ac:dyDescent="0.25">
      <c r="B252" s="171"/>
      <c r="C252" s="171"/>
      <c r="D252" s="171"/>
      <c r="E252" s="171"/>
      <c r="F252" s="171"/>
      <c r="G252" s="171"/>
      <c r="H252" s="171"/>
      <c r="I252" s="171"/>
      <c r="J252" s="171"/>
      <c r="K252" s="171"/>
      <c r="L252" s="171"/>
      <c r="M252" s="171"/>
      <c r="N252" s="171"/>
      <c r="O252" s="171"/>
      <c r="P252" s="171"/>
      <c r="Q252" s="171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</row>
    <row r="253" spans="2:81" x14ac:dyDescent="0.25">
      <c r="M253" s="171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</row>
    <row r="254" spans="2:81" x14ac:dyDescent="0.25">
      <c r="M254" s="171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</row>
    <row r="255" spans="2:81" x14ac:dyDescent="0.25">
      <c r="AW255" s="15"/>
      <c r="BC255" s="15"/>
      <c r="BD255" s="15"/>
      <c r="BE255" s="15"/>
      <c r="BF255" s="15"/>
      <c r="BG255" s="15"/>
      <c r="BH255" s="15"/>
    </row>
    <row r="256" spans="2:81" x14ac:dyDescent="0.25">
      <c r="BF256" s="15"/>
      <c r="BG256" s="15"/>
      <c r="BH256" s="15"/>
    </row>
    <row r="260" spans="14:15" x14ac:dyDescent="0.25">
      <c r="N260" s="22"/>
      <c r="O260" s="22"/>
    </row>
  </sheetData>
  <sheetProtection algorithmName="SHA-512" hashValue="oJL6DM6p0F+YqSa7JnjSDcCMcvCXQ+/PRAyGIuGQQckSQdGJ3W75SDI+o2eiBVnrgG3mKUn6M4oYmw3jN7iDvA==" saltValue="oTSlw8UCvzPcZqIxXeSnVA==" spinCount="100000" sheet="1" objects="1" scenarios="1"/>
  <customSheetViews>
    <customSheetView guid="{E7B63CCF-7FBC-401C-9C4B-EF755A7DC399}" scale="17" showGridLines="0" fitToPage="1">
      <selection activeCell="H19" sqref="H19:I19"/>
      <pageMargins left="0.7" right="0.7" top="0.75" bottom="0.75" header="0.3" footer="0.3"/>
      <pageSetup scale="53" orientation="landscape" horizontalDpi="4294967293" verticalDpi="4294967293" r:id="rId1"/>
    </customSheetView>
  </customSheetViews>
  <mergeCells count="1322">
    <mergeCell ref="V17:X17"/>
    <mergeCell ref="V15:X15"/>
    <mergeCell ref="BM47:BN47"/>
    <mergeCell ref="BM99:BN99"/>
    <mergeCell ref="BL101:BN101"/>
    <mergeCell ref="BM155:BN155"/>
    <mergeCell ref="BM195:BN195"/>
    <mergeCell ref="CA195:CA196"/>
    <mergeCell ref="BQ196:BR196"/>
    <mergeCell ref="BQ197:BR197"/>
    <mergeCell ref="BK199:BM199"/>
    <mergeCell ref="BL178:BL180"/>
    <mergeCell ref="BM178:BM180"/>
    <mergeCell ref="BN178:BN180"/>
    <mergeCell ref="BO178:BO180"/>
    <mergeCell ref="BQ179:BQ181"/>
    <mergeCell ref="BR179:BS181"/>
    <mergeCell ref="BT179:BT181"/>
    <mergeCell ref="BU179:BV181"/>
    <mergeCell ref="BW179:BY183"/>
    <mergeCell ref="BK182:BK185"/>
    <mergeCell ref="BL182:BL184"/>
    <mergeCell ref="BM182:BM184"/>
    <mergeCell ref="BN182:BN184"/>
    <mergeCell ref="BO182:BO184"/>
    <mergeCell ref="BQ182:BQ183"/>
    <mergeCell ref="BR182:BS183"/>
    <mergeCell ref="BT182:BT183"/>
    <mergeCell ref="BU182:BV183"/>
    <mergeCell ref="BQ184:BY184"/>
    <mergeCell ref="BQ185:BQ187"/>
    <mergeCell ref="BR185:BR187"/>
    <mergeCell ref="BS185:BS187"/>
    <mergeCell ref="BT185:BT187"/>
    <mergeCell ref="BU185:BV187"/>
    <mergeCell ref="BW185:BW187"/>
    <mergeCell ref="BK200:BM200"/>
    <mergeCell ref="BK201:BM201"/>
    <mergeCell ref="BK202:BM202"/>
    <mergeCell ref="BK204:BM204"/>
    <mergeCell ref="BK205:BM205"/>
    <mergeCell ref="BK206:BM206"/>
    <mergeCell ref="BK207:BM207"/>
    <mergeCell ref="BS188:BS189"/>
    <mergeCell ref="BT188:BT189"/>
    <mergeCell ref="BU188:BV189"/>
    <mergeCell ref="BW188:BW189"/>
    <mergeCell ref="BY189:BZ190"/>
    <mergeCell ref="CA189:CA190"/>
    <mergeCell ref="BQ190:BR194"/>
    <mergeCell ref="BS190:BS192"/>
    <mergeCell ref="BT190:BU192"/>
    <mergeCell ref="BV190:BW192"/>
    <mergeCell ref="BY191:CA192"/>
    <mergeCell ref="BS193:BS194"/>
    <mergeCell ref="BT193:BU194"/>
    <mergeCell ref="BV193:BW194"/>
    <mergeCell ref="BY193:BZ194"/>
    <mergeCell ref="CA193:CA194"/>
    <mergeCell ref="BK194:BN194"/>
    <mergeCell ref="BX185:BX196"/>
    <mergeCell ref="BY185:CA186"/>
    <mergeCell ref="BY187:BZ188"/>
    <mergeCell ref="CA187:CA188"/>
    <mergeCell ref="BK188:BN188"/>
    <mergeCell ref="BQ188:BQ189"/>
    <mergeCell ref="BR188:BR189"/>
    <mergeCell ref="BY195:BZ196"/>
    <mergeCell ref="BQ169:BY170"/>
    <mergeCell ref="BZ169:CA171"/>
    <mergeCell ref="BK170:BK173"/>
    <mergeCell ref="BL170:BL172"/>
    <mergeCell ref="BM170:BM172"/>
    <mergeCell ref="BN170:BN172"/>
    <mergeCell ref="BO170:BO172"/>
    <mergeCell ref="BQ171:BY172"/>
    <mergeCell ref="BZ172:BZ173"/>
    <mergeCell ref="CA172:CA173"/>
    <mergeCell ref="BQ173:BQ174"/>
    <mergeCell ref="BR173:BR174"/>
    <mergeCell ref="BS173:BS174"/>
    <mergeCell ref="BT173:BU174"/>
    <mergeCell ref="BV173:BW174"/>
    <mergeCell ref="BX173:BY174"/>
    <mergeCell ref="BK174:BK177"/>
    <mergeCell ref="BL174:BL176"/>
    <mergeCell ref="BM174:BM176"/>
    <mergeCell ref="BN174:BN176"/>
    <mergeCell ref="BO174:BO176"/>
    <mergeCell ref="BZ174:BZ175"/>
    <mergeCell ref="CA174:CA175"/>
    <mergeCell ref="BQ175:BQ176"/>
    <mergeCell ref="BR175:BR176"/>
    <mergeCell ref="BS175:BS176"/>
    <mergeCell ref="BT175:BU176"/>
    <mergeCell ref="BV175:BW176"/>
    <mergeCell ref="BX175:BY176"/>
    <mergeCell ref="BQ177:BY178"/>
    <mergeCell ref="BK178:BK181"/>
    <mergeCell ref="BL169:BO169"/>
    <mergeCell ref="B75:K75"/>
    <mergeCell ref="B65:L67"/>
    <mergeCell ref="H57:I59"/>
    <mergeCell ref="AE71:AE72"/>
    <mergeCell ref="AD73:AD74"/>
    <mergeCell ref="AE75:AE76"/>
    <mergeCell ref="AF75:AF76"/>
    <mergeCell ref="AG75:AG76"/>
    <mergeCell ref="AH75:AH76"/>
    <mergeCell ref="AI75:AI76"/>
    <mergeCell ref="AJ75:AJ76"/>
    <mergeCell ref="AE69:AE70"/>
    <mergeCell ref="AF65:AF66"/>
    <mergeCell ref="AG65:AG66"/>
    <mergeCell ref="AH65:AH66"/>
    <mergeCell ref="AI65:AI66"/>
    <mergeCell ref="AJ65:AJ66"/>
    <mergeCell ref="AD65:AD66"/>
    <mergeCell ref="AD67:AD68"/>
    <mergeCell ref="BQ157:BR157"/>
    <mergeCell ref="BL138:BL140"/>
    <mergeCell ref="BM134:BM136"/>
    <mergeCell ref="BN134:BN136"/>
    <mergeCell ref="BC89:BC90"/>
    <mergeCell ref="BD89:BD90"/>
    <mergeCell ref="AR71:AR72"/>
    <mergeCell ref="BQ131:BY132"/>
    <mergeCell ref="BQ94:BQ95"/>
    <mergeCell ref="AD1:AH1"/>
    <mergeCell ref="AO71:AO72"/>
    <mergeCell ref="AP71:AP72"/>
    <mergeCell ref="AQ71:AQ72"/>
    <mergeCell ref="AE73:AE74"/>
    <mergeCell ref="AF73:AF74"/>
    <mergeCell ref="AG73:AG74"/>
    <mergeCell ref="AH73:AH74"/>
    <mergeCell ref="AI73:AI74"/>
    <mergeCell ref="AJ73:AJ74"/>
    <mergeCell ref="AK73:AK74"/>
    <mergeCell ref="AL73:AL74"/>
    <mergeCell ref="AM73:AM74"/>
    <mergeCell ref="AN73:AN74"/>
    <mergeCell ref="AO73:AO74"/>
    <mergeCell ref="AP73:AP74"/>
    <mergeCell ref="AQ73:AQ74"/>
    <mergeCell ref="AL61:AL62"/>
    <mergeCell ref="AM61:AM62"/>
    <mergeCell ref="AN61:AN62"/>
    <mergeCell ref="AO65:AO66"/>
    <mergeCell ref="AD71:AD72"/>
    <mergeCell ref="AF67:AF68"/>
    <mergeCell ref="AG67:AG68"/>
    <mergeCell ref="AH67:AH68"/>
    <mergeCell ref="AJ57:AJ58"/>
    <mergeCell ref="AE29:AE30"/>
    <mergeCell ref="AF71:AF72"/>
    <mergeCell ref="AG71:AG72"/>
    <mergeCell ref="AH71:AH72"/>
    <mergeCell ref="AI71:AI72"/>
    <mergeCell ref="AJ71:AJ72"/>
    <mergeCell ref="AI35:AI36"/>
    <mergeCell ref="AJ35:AJ36"/>
    <mergeCell ref="AE61:AE62"/>
    <mergeCell ref="AE59:AE60"/>
    <mergeCell ref="AF69:AF70"/>
    <mergeCell ref="AH41:AH42"/>
    <mergeCell ref="AE51:AE52"/>
    <mergeCell ref="AE53:AE54"/>
    <mergeCell ref="AH53:AH54"/>
    <mergeCell ref="AE45:AE46"/>
    <mergeCell ref="AF45:AF46"/>
    <mergeCell ref="AG51:AG52"/>
    <mergeCell ref="AG69:AG70"/>
    <mergeCell ref="AH69:AH70"/>
    <mergeCell ref="AI69:AI70"/>
    <mergeCell ref="AJ69:AJ70"/>
    <mergeCell ref="AH37:AH38"/>
    <mergeCell ref="AI37:AI38"/>
    <mergeCell ref="AJ37:AJ38"/>
    <mergeCell ref="AG55:AG56"/>
    <mergeCell ref="AH55:AH56"/>
    <mergeCell ref="AI55:AI56"/>
    <mergeCell ref="AE47:AE48"/>
    <mergeCell ref="AF47:AF48"/>
    <mergeCell ref="AG47:AG48"/>
    <mergeCell ref="AI57:AI58"/>
    <mergeCell ref="AJ45:AJ46"/>
    <mergeCell ref="AE65:AE66"/>
    <mergeCell ref="AE63:AE64"/>
    <mergeCell ref="AF63:AF64"/>
    <mergeCell ref="AG63:AG64"/>
    <mergeCell ref="AH63:AH64"/>
    <mergeCell ref="AK57:AK58"/>
    <mergeCell ref="AP63:AP64"/>
    <mergeCell ref="AJ61:AJ62"/>
    <mergeCell ref="AI63:AI64"/>
    <mergeCell ref="AJ63:AJ64"/>
    <mergeCell ref="AO49:AO50"/>
    <mergeCell ref="AN43:AN44"/>
    <mergeCell ref="AO43:AO44"/>
    <mergeCell ref="AN49:AN50"/>
    <mergeCell ref="AM49:AM50"/>
    <mergeCell ref="AF53:AF54"/>
    <mergeCell ref="AG53:AG54"/>
    <mergeCell ref="AO57:AO58"/>
    <mergeCell ref="AL65:AL66"/>
    <mergeCell ref="AM65:AM66"/>
    <mergeCell ref="AN65:AN66"/>
    <mergeCell ref="AH43:AH44"/>
    <mergeCell ref="AI43:AI44"/>
    <mergeCell ref="AJ43:AJ44"/>
    <mergeCell ref="AF29:AF30"/>
    <mergeCell ref="AG29:AG30"/>
    <mergeCell ref="AH29:AH30"/>
    <mergeCell ref="AI29:AI30"/>
    <mergeCell ref="O39:AA39"/>
    <mergeCell ref="AI31:AI32"/>
    <mergeCell ref="AE37:AE38"/>
    <mergeCell ref="AL47:AL48"/>
    <mergeCell ref="AM47:AM48"/>
    <mergeCell ref="AJ29:AJ30"/>
    <mergeCell ref="AJ31:AJ32"/>
    <mergeCell ref="AI33:AI34"/>
    <mergeCell ref="AH31:AH32"/>
    <mergeCell ref="AF33:AF34"/>
    <mergeCell ref="AG33:AG34"/>
    <mergeCell ref="AH33:AH34"/>
    <mergeCell ref="AJ39:AJ40"/>
    <mergeCell ref="AK39:AK40"/>
    <mergeCell ref="AK45:AK46"/>
    <mergeCell ref="AG41:AG42"/>
    <mergeCell ref="AI41:AI42"/>
    <mergeCell ref="AJ41:AJ42"/>
    <mergeCell ref="AK41:AK42"/>
    <mergeCell ref="AG45:AG46"/>
    <mergeCell ref="AH45:AH46"/>
    <mergeCell ref="AL41:AL42"/>
    <mergeCell ref="AL45:AL46"/>
    <mergeCell ref="AM45:AM46"/>
    <mergeCell ref="AK35:AK36"/>
    <mergeCell ref="AK37:AK38"/>
    <mergeCell ref="AJ47:AJ48"/>
    <mergeCell ref="AE35:AE36"/>
    <mergeCell ref="AE25:AE26"/>
    <mergeCell ref="AF25:AF26"/>
    <mergeCell ref="AG25:AG26"/>
    <mergeCell ref="AH25:AH26"/>
    <mergeCell ref="AI25:AI26"/>
    <mergeCell ref="AE27:AE28"/>
    <mergeCell ref="AF27:AF28"/>
    <mergeCell ref="AG35:AG36"/>
    <mergeCell ref="AH35:AH36"/>
    <mergeCell ref="AN47:AN48"/>
    <mergeCell ref="AO47:AO48"/>
    <mergeCell ref="AI7:AI8"/>
    <mergeCell ref="AK17:AK18"/>
    <mergeCell ref="AL17:AL18"/>
    <mergeCell ref="AM17:AM18"/>
    <mergeCell ref="AQ17:AQ18"/>
    <mergeCell ref="AE23:AE24"/>
    <mergeCell ref="AF23:AF24"/>
    <mergeCell ref="AG23:AG24"/>
    <mergeCell ref="AH23:AH24"/>
    <mergeCell ref="AI23:AI24"/>
    <mergeCell ref="AJ23:AJ24"/>
    <mergeCell ref="AK23:AK24"/>
    <mergeCell ref="AL23:AL24"/>
    <mergeCell ref="AM23:AM24"/>
    <mergeCell ref="AN23:AN24"/>
    <mergeCell ref="AO23:AO24"/>
    <mergeCell ref="AP23:AP24"/>
    <mergeCell ref="AQ23:AQ24"/>
    <mergeCell ref="AE21:AE22"/>
    <mergeCell ref="AF21:AF22"/>
    <mergeCell ref="AG21:AG22"/>
    <mergeCell ref="AE15:AE16"/>
    <mergeCell ref="AE13:AE14"/>
    <mergeCell ref="AJ13:AJ14"/>
    <mergeCell ref="AF9:AF10"/>
    <mergeCell ref="AG9:AG10"/>
    <mergeCell ref="AE19:AE20"/>
    <mergeCell ref="AE17:AE18"/>
    <mergeCell ref="AL21:AL22"/>
    <mergeCell ref="AF19:AF20"/>
    <mergeCell ref="AN19:AN20"/>
    <mergeCell ref="AO19:AO20"/>
    <mergeCell ref="AP19:AP20"/>
    <mergeCell ref="AM21:AM22"/>
    <mergeCell ref="AN17:AN18"/>
    <mergeCell ref="AH9:AH10"/>
    <mergeCell ref="AI9:AI10"/>
    <mergeCell ref="AJ9:AJ10"/>
    <mergeCell ref="AK9:AK10"/>
    <mergeCell ref="AL9:AL10"/>
    <mergeCell ref="AM9:AM10"/>
    <mergeCell ref="AH11:AH12"/>
    <mergeCell ref="AF15:AF16"/>
    <mergeCell ref="AG15:AG16"/>
    <mergeCell ref="AH15:AH16"/>
    <mergeCell ref="AI15:AI16"/>
    <mergeCell ref="AJ15:AJ16"/>
    <mergeCell ref="AK15:AK16"/>
    <mergeCell ref="AL15:AL16"/>
    <mergeCell ref="AF13:AF14"/>
    <mergeCell ref="AG13:AG14"/>
    <mergeCell ref="AH13:AH14"/>
    <mergeCell ref="AI13:AI14"/>
    <mergeCell ref="AF17:AF18"/>
    <mergeCell ref="AG17:AG18"/>
    <mergeCell ref="AH17:AH18"/>
    <mergeCell ref="AS17:AS18"/>
    <mergeCell ref="AS19:AS20"/>
    <mergeCell ref="AS21:AS22"/>
    <mergeCell ref="AS23:AS24"/>
    <mergeCell ref="AS25:AS26"/>
    <mergeCell ref="AS27:AS28"/>
    <mergeCell ref="AS29:AS30"/>
    <mergeCell ref="AR37:AR38"/>
    <mergeCell ref="AI17:AI18"/>
    <mergeCell ref="AJ17:AJ18"/>
    <mergeCell ref="AH21:AH22"/>
    <mergeCell ref="AI21:AI22"/>
    <mergeCell ref="AJ21:AJ22"/>
    <mergeCell ref="AK21:AK22"/>
    <mergeCell ref="AL27:AL28"/>
    <mergeCell ref="AK33:AK34"/>
    <mergeCell ref="AJ25:AJ26"/>
    <mergeCell ref="AK25:AK26"/>
    <mergeCell ref="AL25:AL26"/>
    <mergeCell ref="AL29:AL30"/>
    <mergeCell ref="AK31:AK32"/>
    <mergeCell ref="AL31:AL32"/>
    <mergeCell ref="AK27:AK28"/>
    <mergeCell ref="AL35:AL36"/>
    <mergeCell ref="AM35:AM36"/>
    <mergeCell ref="AN35:AN36"/>
    <mergeCell ref="AO35:AO36"/>
    <mergeCell ref="AF37:AF38"/>
    <mergeCell ref="AG37:AG38"/>
    <mergeCell ref="AM7:AM8"/>
    <mergeCell ref="AN7:AN8"/>
    <mergeCell ref="AO7:AO8"/>
    <mergeCell ref="AP7:AP8"/>
    <mergeCell ref="AQ7:AQ8"/>
    <mergeCell ref="AO15:AO16"/>
    <mergeCell ref="AO17:AO18"/>
    <mergeCell ref="AN29:AN30"/>
    <mergeCell ref="AN37:AN38"/>
    <mergeCell ref="AO29:AO30"/>
    <mergeCell ref="AP41:AP42"/>
    <mergeCell ref="AO37:AO38"/>
    <mergeCell ref="AS7:AS8"/>
    <mergeCell ref="AR7:AR8"/>
    <mergeCell ref="AR9:AR10"/>
    <mergeCell ref="AS9:AS10"/>
    <mergeCell ref="AM41:AM42"/>
    <mergeCell ref="AP37:AP38"/>
    <mergeCell ref="AO13:AO14"/>
    <mergeCell ref="AM15:AM16"/>
    <mergeCell ref="AN15:AN16"/>
    <mergeCell ref="AN33:AN34"/>
    <mergeCell ref="AM25:AM26"/>
    <mergeCell ref="AN25:AN26"/>
    <mergeCell ref="AN21:AN22"/>
    <mergeCell ref="AN31:AN32"/>
    <mergeCell ref="AM29:AM30"/>
    <mergeCell ref="AM27:AM28"/>
    <mergeCell ref="AN27:AN28"/>
    <mergeCell ref="AO39:AO40"/>
    <mergeCell ref="AN41:AN42"/>
    <mergeCell ref="AO41:AO42"/>
    <mergeCell ref="AD41:AD42"/>
    <mergeCell ref="AD43:AD44"/>
    <mergeCell ref="AD45:AD46"/>
    <mergeCell ref="AD47:AD48"/>
    <mergeCell ref="AD49:AD50"/>
    <mergeCell ref="AD51:AD52"/>
    <mergeCell ref="AD53:AD54"/>
    <mergeCell ref="AD55:AD56"/>
    <mergeCell ref="AD57:AD58"/>
    <mergeCell ref="AQ31:AQ32"/>
    <mergeCell ref="AN45:AN46"/>
    <mergeCell ref="AO45:AO46"/>
    <mergeCell ref="AP45:AP46"/>
    <mergeCell ref="AQ45:AQ46"/>
    <mergeCell ref="AE31:AE32"/>
    <mergeCell ref="AF31:AF32"/>
    <mergeCell ref="AG31:AG32"/>
    <mergeCell ref="AO33:AO34"/>
    <mergeCell ref="AP33:AP34"/>
    <mergeCell ref="AQ33:AQ34"/>
    <mergeCell ref="AJ33:AJ34"/>
    <mergeCell ref="AI47:AI48"/>
    <mergeCell ref="AI45:AI46"/>
    <mergeCell ref="AL43:AL44"/>
    <mergeCell ref="AM43:AM44"/>
    <mergeCell ref="AE33:AE34"/>
    <mergeCell ref="AG43:AG44"/>
    <mergeCell ref="AF35:AF36"/>
    <mergeCell ref="AF51:AF52"/>
    <mergeCell ref="AP35:AP36"/>
    <mergeCell ref="AQ35:AQ36"/>
    <mergeCell ref="AQ47:AQ48"/>
    <mergeCell ref="BY46:BZ47"/>
    <mergeCell ref="BH58:BH60"/>
    <mergeCell ref="BZ129:CA131"/>
    <mergeCell ref="AD23:AD24"/>
    <mergeCell ref="AD25:AD26"/>
    <mergeCell ref="AD27:AD28"/>
    <mergeCell ref="AD29:AD30"/>
    <mergeCell ref="AD31:AD32"/>
    <mergeCell ref="AD33:AD34"/>
    <mergeCell ref="AD35:AD36"/>
    <mergeCell ref="AD37:AD38"/>
    <mergeCell ref="AD39:AD40"/>
    <mergeCell ref="BO77:BO78"/>
    <mergeCell ref="AD63:AD64"/>
    <mergeCell ref="AD59:AD60"/>
    <mergeCell ref="BQ129:BY130"/>
    <mergeCell ref="BQ101:BQ103"/>
    <mergeCell ref="BU91:BV93"/>
    <mergeCell ref="AQ57:AQ58"/>
    <mergeCell ref="AQ53:AQ54"/>
    <mergeCell ref="AQ59:AQ60"/>
    <mergeCell ref="AL37:AL38"/>
    <mergeCell ref="AM37:AM38"/>
    <mergeCell ref="AH49:AH50"/>
    <mergeCell ref="AI49:AI50"/>
    <mergeCell ref="AJ49:AJ50"/>
    <mergeCell ref="AK49:AK50"/>
    <mergeCell ref="AN57:AN58"/>
    <mergeCell ref="AL33:AL34"/>
    <mergeCell ref="AM33:AM34"/>
    <mergeCell ref="AP61:AP62"/>
    <mergeCell ref="AH47:AH48"/>
    <mergeCell ref="BT145:BT147"/>
    <mergeCell ref="BT139:BT141"/>
    <mergeCell ref="BZ7:BZ9"/>
    <mergeCell ref="BO138:BO140"/>
    <mergeCell ref="BO142:BO144"/>
    <mergeCell ref="BQ75:BY76"/>
    <mergeCell ref="BU139:BV141"/>
    <mergeCell ref="BW139:BY143"/>
    <mergeCell ref="BQ142:BQ143"/>
    <mergeCell ref="BR142:BS143"/>
    <mergeCell ref="BT135:BU136"/>
    <mergeCell ref="BV135:BW136"/>
    <mergeCell ref="BX135:BY136"/>
    <mergeCell ref="BW54:BW55"/>
    <mergeCell ref="BQ24:BQ27"/>
    <mergeCell ref="BR24:BR27"/>
    <mergeCell ref="BX114:BY114"/>
    <mergeCell ref="BQ6:BY7"/>
    <mergeCell ref="BZ4:CA6"/>
    <mergeCell ref="BQ14:BX15"/>
    <mergeCell ref="CA132:CA133"/>
    <mergeCell ref="BQ133:BQ134"/>
    <mergeCell ref="BR133:BR134"/>
    <mergeCell ref="BS133:BS134"/>
    <mergeCell ref="BT133:BU134"/>
    <mergeCell ref="BV133:BW134"/>
    <mergeCell ref="BX133:BY134"/>
    <mergeCell ref="BZ134:BZ135"/>
    <mergeCell ref="CA134:CA135"/>
    <mergeCell ref="BQ135:BQ136"/>
    <mergeCell ref="BR135:BR136"/>
    <mergeCell ref="BS135:BS136"/>
    <mergeCell ref="BX118:BY118"/>
    <mergeCell ref="BY107:CA110"/>
    <mergeCell ref="BT99:BU100"/>
    <mergeCell ref="BV99:BW100"/>
    <mergeCell ref="BS106:BS108"/>
    <mergeCell ref="BT106:BT108"/>
    <mergeCell ref="BR91:BR93"/>
    <mergeCell ref="BR94:BR95"/>
    <mergeCell ref="BS91:BS93"/>
    <mergeCell ref="BV96:BW98"/>
    <mergeCell ref="BS99:BS100"/>
    <mergeCell ref="BW148:BW149"/>
    <mergeCell ref="BY149:BZ150"/>
    <mergeCell ref="CA149:CA150"/>
    <mergeCell ref="BQ150:BR154"/>
    <mergeCell ref="BS150:BS152"/>
    <mergeCell ref="BT150:BU152"/>
    <mergeCell ref="BY153:BZ154"/>
    <mergeCell ref="BV150:BW152"/>
    <mergeCell ref="BY151:CA152"/>
    <mergeCell ref="BX145:BX156"/>
    <mergeCell ref="CA153:CA154"/>
    <mergeCell ref="BY155:BZ156"/>
    <mergeCell ref="CA155:CA156"/>
    <mergeCell ref="BQ156:BR156"/>
    <mergeCell ref="BY145:CA146"/>
    <mergeCell ref="BY147:BZ148"/>
    <mergeCell ref="CA147:CA148"/>
    <mergeCell ref="BQ148:BQ149"/>
    <mergeCell ref="BQ145:BQ147"/>
    <mergeCell ref="BR145:BR147"/>
    <mergeCell ref="BS145:BS147"/>
    <mergeCell ref="CA28:CA31"/>
    <mergeCell ref="BY36:BZ39"/>
    <mergeCell ref="CA36:CA39"/>
    <mergeCell ref="BQ36:BQ39"/>
    <mergeCell ref="BR36:BR39"/>
    <mergeCell ref="CA32:CA33"/>
    <mergeCell ref="CA42:CA45"/>
    <mergeCell ref="BS54:BS55"/>
    <mergeCell ref="CA78:CA79"/>
    <mergeCell ref="BZ80:BZ81"/>
    <mergeCell ref="BS79:BS80"/>
    <mergeCell ref="BT79:BU80"/>
    <mergeCell ref="BV79:BW80"/>
    <mergeCell ref="BQ79:BQ80"/>
    <mergeCell ref="BT81:BU82"/>
    <mergeCell ref="BY28:BZ31"/>
    <mergeCell ref="BZ132:BZ133"/>
    <mergeCell ref="BY101:BZ102"/>
    <mergeCell ref="BT96:BU98"/>
    <mergeCell ref="BS96:BS98"/>
    <mergeCell ref="CA101:CA102"/>
    <mergeCell ref="BX115:BY115"/>
    <mergeCell ref="CA103:CA104"/>
    <mergeCell ref="CA105:CA106"/>
    <mergeCell ref="BX91:BX110"/>
    <mergeCell ref="BY91:CA92"/>
    <mergeCell ref="BY93:BZ94"/>
    <mergeCell ref="CA93:CA94"/>
    <mergeCell ref="BY95:BZ96"/>
    <mergeCell ref="CA95:CA96"/>
    <mergeCell ref="BY99:BZ100"/>
    <mergeCell ref="BR104:BR105"/>
    <mergeCell ref="AD7:AD8"/>
    <mergeCell ref="AD9:AD10"/>
    <mergeCell ref="AD11:AD12"/>
    <mergeCell ref="AD13:AD14"/>
    <mergeCell ref="AD15:AD16"/>
    <mergeCell ref="AD17:AD18"/>
    <mergeCell ref="AD19:AD20"/>
    <mergeCell ref="AD21:AD22"/>
    <mergeCell ref="AH7:AH8"/>
    <mergeCell ref="AE7:AE8"/>
    <mergeCell ref="AF7:AF8"/>
    <mergeCell ref="AG7:AG8"/>
    <mergeCell ref="AN9:AN10"/>
    <mergeCell ref="AO9:AO10"/>
    <mergeCell ref="AP9:AP10"/>
    <mergeCell ref="AQ9:AQ10"/>
    <mergeCell ref="AE11:AE12"/>
    <mergeCell ref="AF11:AF12"/>
    <mergeCell ref="AG11:AG12"/>
    <mergeCell ref="AI11:AI12"/>
    <mergeCell ref="AJ11:AJ12"/>
    <mergeCell ref="AK11:AK12"/>
    <mergeCell ref="AL11:AL12"/>
    <mergeCell ref="AM11:AM12"/>
    <mergeCell ref="AN11:AN12"/>
    <mergeCell ref="AO11:AO12"/>
    <mergeCell ref="AP11:AP12"/>
    <mergeCell ref="AQ11:AQ12"/>
    <mergeCell ref="AE9:AE10"/>
    <mergeCell ref="AJ7:AJ8"/>
    <mergeCell ref="AK7:AK8"/>
    <mergeCell ref="AL7:AL8"/>
    <mergeCell ref="AO21:AO22"/>
    <mergeCell ref="AP21:AP22"/>
    <mergeCell ref="AQ21:AQ22"/>
    <mergeCell ref="AR25:AR26"/>
    <mergeCell ref="AR27:AR28"/>
    <mergeCell ref="AR29:AR30"/>
    <mergeCell ref="AW43:AW49"/>
    <mergeCell ref="AX43:AZ44"/>
    <mergeCell ref="BA43:BD43"/>
    <mergeCell ref="BE43:BG43"/>
    <mergeCell ref="AX45:AY45"/>
    <mergeCell ref="BA45:BC45"/>
    <mergeCell ref="BA47:BC47"/>
    <mergeCell ref="AX49:AY49"/>
    <mergeCell ref="BA49:BC49"/>
    <mergeCell ref="BE49:BF49"/>
    <mergeCell ref="BK37:BN37"/>
    <mergeCell ref="AS41:AS42"/>
    <mergeCell ref="AS43:AS44"/>
    <mergeCell ref="BM22:BM24"/>
    <mergeCell ref="AW17:AW23"/>
    <mergeCell ref="AQ37:AQ38"/>
    <mergeCell ref="BN22:BN24"/>
    <mergeCell ref="AP17:AP18"/>
    <mergeCell ref="AP27:AP28"/>
    <mergeCell ref="AQ27:AQ28"/>
    <mergeCell ref="AR31:AR32"/>
    <mergeCell ref="AR33:AR34"/>
    <mergeCell ref="AR35:AR36"/>
    <mergeCell ref="AQ19:AQ20"/>
    <mergeCell ref="AQ49:AQ50"/>
    <mergeCell ref="AP49:AP50"/>
    <mergeCell ref="BA19:BC19"/>
    <mergeCell ref="AP29:AP30"/>
    <mergeCell ref="AQ25:AQ26"/>
    <mergeCell ref="AQ29:AQ30"/>
    <mergeCell ref="AS11:AS12"/>
    <mergeCell ref="AS13:AS14"/>
    <mergeCell ref="AR39:AR40"/>
    <mergeCell ref="AR11:AR12"/>
    <mergeCell ref="AR13:AR14"/>
    <mergeCell ref="AR15:AR16"/>
    <mergeCell ref="AR17:AR18"/>
    <mergeCell ref="AR19:AR20"/>
    <mergeCell ref="AR21:AR22"/>
    <mergeCell ref="AR23:AR24"/>
    <mergeCell ref="AP15:AP16"/>
    <mergeCell ref="AQ15:AQ16"/>
    <mergeCell ref="AP31:AP32"/>
    <mergeCell ref="AW37:BG41"/>
    <mergeCell ref="AS15:AS16"/>
    <mergeCell ref="AQ41:AQ42"/>
    <mergeCell ref="AX23:AY23"/>
    <mergeCell ref="AX35:AY35"/>
    <mergeCell ref="AX19:AY19"/>
    <mergeCell ref="AX31:AY31"/>
    <mergeCell ref="AS31:AS32"/>
    <mergeCell ref="AS33:AS34"/>
    <mergeCell ref="AS35:AS36"/>
    <mergeCell ref="AS47:AS48"/>
    <mergeCell ref="AS49:AS50"/>
    <mergeCell ref="AS51:AS52"/>
    <mergeCell ref="BV30:BW33"/>
    <mergeCell ref="AS39:AS40"/>
    <mergeCell ref="AS37:AS38"/>
    <mergeCell ref="BL22:BL24"/>
    <mergeCell ref="BT46:BU47"/>
    <mergeCell ref="BQ30:BR35"/>
    <mergeCell ref="BS42:BS45"/>
    <mergeCell ref="BT34:BU35"/>
    <mergeCell ref="BV34:BW35"/>
    <mergeCell ref="BK41:BN41"/>
    <mergeCell ref="BS36:BS39"/>
    <mergeCell ref="AZ51:AZ53"/>
    <mergeCell ref="BR40:BR41"/>
    <mergeCell ref="BE23:BF23"/>
    <mergeCell ref="BE35:BF35"/>
    <mergeCell ref="BE29:BG29"/>
    <mergeCell ref="AP67:AP68"/>
    <mergeCell ref="AR65:AR66"/>
    <mergeCell ref="AR67:AR68"/>
    <mergeCell ref="AR69:AR70"/>
    <mergeCell ref="AR59:AR60"/>
    <mergeCell ref="AR57:AR58"/>
    <mergeCell ref="AH51:AH52"/>
    <mergeCell ref="AI51:AI52"/>
    <mergeCell ref="AJ51:AJ52"/>
    <mergeCell ref="AL63:AL64"/>
    <mergeCell ref="AM63:AM64"/>
    <mergeCell ref="AN63:AN64"/>
    <mergeCell ref="AO63:AO64"/>
    <mergeCell ref="AO69:AO70"/>
    <mergeCell ref="AM55:AM56"/>
    <mergeCell ref="AN55:AN56"/>
    <mergeCell ref="AO55:AO56"/>
    <mergeCell ref="AP55:AP56"/>
    <mergeCell ref="AO51:AO52"/>
    <mergeCell ref="AR51:AR52"/>
    <mergeCell ref="AR53:AR54"/>
    <mergeCell ref="AR55:AR56"/>
    <mergeCell ref="AL55:AL56"/>
    <mergeCell ref="AQ63:AQ64"/>
    <mergeCell ref="AL59:AL60"/>
    <mergeCell ref="AQ67:AQ68"/>
    <mergeCell ref="AP65:AP66"/>
    <mergeCell ref="AQ65:AQ66"/>
    <mergeCell ref="AY57:BC57"/>
    <mergeCell ref="AQ39:AQ40"/>
    <mergeCell ref="AR41:AR42"/>
    <mergeCell ref="AR43:AR44"/>
    <mergeCell ref="AR45:AR46"/>
    <mergeCell ref="AS45:AS46"/>
    <mergeCell ref="AR47:AR48"/>
    <mergeCell ref="AR49:AR50"/>
    <mergeCell ref="AL39:AL40"/>
    <mergeCell ref="AM39:AM40"/>
    <mergeCell ref="AN39:AN40"/>
    <mergeCell ref="AP39:AP40"/>
    <mergeCell ref="AP47:AP48"/>
    <mergeCell ref="AP69:AP70"/>
    <mergeCell ref="AQ69:AQ70"/>
    <mergeCell ref="AK71:AK72"/>
    <mergeCell ref="AP53:AP54"/>
    <mergeCell ref="AO59:AO60"/>
    <mergeCell ref="AP59:AP60"/>
    <mergeCell ref="AK61:AK62"/>
    <mergeCell ref="AN53:AN54"/>
    <mergeCell ref="AO53:AO54"/>
    <mergeCell ref="AK51:AK52"/>
    <mergeCell ref="AL51:AL52"/>
    <mergeCell ref="AM51:AM52"/>
    <mergeCell ref="AP43:AP44"/>
    <mergeCell ref="AQ43:AQ44"/>
    <mergeCell ref="AN51:AN52"/>
    <mergeCell ref="AK43:AK44"/>
    <mergeCell ref="AS59:AS60"/>
    <mergeCell ref="AW57:AX57"/>
    <mergeCell ref="AL71:AL72"/>
    <mergeCell ref="BK61:BM61"/>
    <mergeCell ref="AS61:AS62"/>
    <mergeCell ref="BA51:BA53"/>
    <mergeCell ref="AD75:AD76"/>
    <mergeCell ref="AE67:AE68"/>
    <mergeCell ref="AI53:AI54"/>
    <mergeCell ref="AJ53:AJ54"/>
    <mergeCell ref="AK63:AK64"/>
    <mergeCell ref="AK53:AK54"/>
    <mergeCell ref="AL53:AL54"/>
    <mergeCell ref="AM53:AM54"/>
    <mergeCell ref="AG59:AG60"/>
    <mergeCell ref="AH59:AH60"/>
    <mergeCell ref="AI59:AI60"/>
    <mergeCell ref="AJ59:AJ60"/>
    <mergeCell ref="AK59:AK60"/>
    <mergeCell ref="AF61:AF62"/>
    <mergeCell ref="AG61:AG62"/>
    <mergeCell ref="AJ55:AJ56"/>
    <mergeCell ref="AK55:AK56"/>
    <mergeCell ref="AD61:AD62"/>
    <mergeCell ref="AF59:AF60"/>
    <mergeCell ref="AK65:AK66"/>
    <mergeCell ref="AP51:AP52"/>
    <mergeCell ref="AQ51:AQ52"/>
    <mergeCell ref="AM71:AM72"/>
    <mergeCell ref="AM59:AM60"/>
    <mergeCell ref="AN59:AN60"/>
    <mergeCell ref="AE57:AE58"/>
    <mergeCell ref="AE55:AE56"/>
    <mergeCell ref="AF55:AF56"/>
    <mergeCell ref="AH57:AH58"/>
    <mergeCell ref="AY85:BC85"/>
    <mergeCell ref="BK69:BM69"/>
    <mergeCell ref="AR73:AR74"/>
    <mergeCell ref="AS73:AS74"/>
    <mergeCell ref="AS71:AS72"/>
    <mergeCell ref="AR75:AR76"/>
    <mergeCell ref="BF89:BF90"/>
    <mergeCell ref="AZ89:AZ90"/>
    <mergeCell ref="BA89:BA90"/>
    <mergeCell ref="BB89:BB90"/>
    <mergeCell ref="BE89:BE90"/>
    <mergeCell ref="AY89:AY90"/>
    <mergeCell ref="AW87:AW93"/>
    <mergeCell ref="AY109:AY110"/>
    <mergeCell ref="AZ109:AZ110"/>
    <mergeCell ref="BA109:BA110"/>
    <mergeCell ref="BB109:BB110"/>
    <mergeCell ref="BC109:BC110"/>
    <mergeCell ref="AW104:AY104"/>
    <mergeCell ref="BC72:BC74"/>
    <mergeCell ref="BD72:BD74"/>
    <mergeCell ref="BE72:BE74"/>
    <mergeCell ref="AW71:AX71"/>
    <mergeCell ref="AY96:AY98"/>
    <mergeCell ref="AZ96:AZ98"/>
    <mergeCell ref="AX89:AX90"/>
    <mergeCell ref="AY72:AY74"/>
    <mergeCell ref="AZ72:AZ74"/>
    <mergeCell ref="BA72:BA74"/>
    <mergeCell ref="BB72:BB74"/>
    <mergeCell ref="BA96:BA98"/>
    <mergeCell ref="BB96:BB98"/>
    <mergeCell ref="O7:AA8"/>
    <mergeCell ref="AQ61:AQ62"/>
    <mergeCell ref="AS75:AS76"/>
    <mergeCell ref="AS69:AS70"/>
    <mergeCell ref="BL83:BL84"/>
    <mergeCell ref="BM83:BM84"/>
    <mergeCell ref="BN83:BN84"/>
    <mergeCell ref="BL86:BL87"/>
    <mergeCell ref="BM86:BM87"/>
    <mergeCell ref="BN86:BN87"/>
    <mergeCell ref="BF109:BF110"/>
    <mergeCell ref="BK1:BO1"/>
    <mergeCell ref="C15:F15"/>
    <mergeCell ref="C17:F17"/>
    <mergeCell ref="C19:F19"/>
    <mergeCell ref="AI67:AI68"/>
    <mergeCell ref="V47:X47"/>
    <mergeCell ref="V59:X59"/>
    <mergeCell ref="H49:I49"/>
    <mergeCell ref="V37:X37"/>
    <mergeCell ref="V49:X49"/>
    <mergeCell ref="V61:X61"/>
    <mergeCell ref="H25:I25"/>
    <mergeCell ref="H29:I29"/>
    <mergeCell ref="H43:I43"/>
    <mergeCell ref="C61:I63"/>
    <mergeCell ref="H27:I27"/>
    <mergeCell ref="H31:I31"/>
    <mergeCell ref="H33:I33"/>
    <mergeCell ref="AW94:AY94"/>
    <mergeCell ref="AZ86:AZ88"/>
    <mergeCell ref="BG109:BG110"/>
    <mergeCell ref="J19:K19"/>
    <mergeCell ref="J23:K23"/>
    <mergeCell ref="B70:L73"/>
    <mergeCell ref="B68:L69"/>
    <mergeCell ref="R55:S55"/>
    <mergeCell ref="V19:X19"/>
    <mergeCell ref="V21:X21"/>
    <mergeCell ref="V25:X25"/>
    <mergeCell ref="O29:P29"/>
    <mergeCell ref="C37:F37"/>
    <mergeCell ref="C39:F39"/>
    <mergeCell ref="C41:F41"/>
    <mergeCell ref="B43:F43"/>
    <mergeCell ref="C45:F45"/>
    <mergeCell ref="C47:F47"/>
    <mergeCell ref="C49:F49"/>
    <mergeCell ref="O53:S53"/>
    <mergeCell ref="H55:I55"/>
    <mergeCell ref="B57:F59"/>
    <mergeCell ref="J51:K51"/>
    <mergeCell ref="B31:F31"/>
    <mergeCell ref="C33:F33"/>
    <mergeCell ref="H51:I51"/>
    <mergeCell ref="C51:F51"/>
    <mergeCell ref="R57:AB57"/>
    <mergeCell ref="C53:F53"/>
    <mergeCell ref="B25:F25"/>
    <mergeCell ref="B27:F27"/>
    <mergeCell ref="H41:I41"/>
    <mergeCell ref="Q29:AB29"/>
    <mergeCell ref="O27:AA27"/>
    <mergeCell ref="V23:X23"/>
    <mergeCell ref="B1:AB1"/>
    <mergeCell ref="H39:I39"/>
    <mergeCell ref="H47:I47"/>
    <mergeCell ref="H37:I37"/>
    <mergeCell ref="H45:I45"/>
    <mergeCell ref="H23:I23"/>
    <mergeCell ref="H53:I53"/>
    <mergeCell ref="AW55:AX55"/>
    <mergeCell ref="AE41:AE42"/>
    <mergeCell ref="AF41:AF42"/>
    <mergeCell ref="AS53:AS54"/>
    <mergeCell ref="AS55:AS56"/>
    <mergeCell ref="AS57:AS58"/>
    <mergeCell ref="AP13:AP14"/>
    <mergeCell ref="AQ13:AQ14"/>
    <mergeCell ref="AK13:AK14"/>
    <mergeCell ref="AL13:AL14"/>
    <mergeCell ref="AM13:AM14"/>
    <mergeCell ref="AN13:AN14"/>
    <mergeCell ref="B3:C3"/>
    <mergeCell ref="B4:C4"/>
    <mergeCell ref="B5:C5"/>
    <mergeCell ref="B6:C6"/>
    <mergeCell ref="D3:L3"/>
    <mergeCell ref="D4:L4"/>
    <mergeCell ref="D5:L5"/>
    <mergeCell ref="D6:L6"/>
    <mergeCell ref="H17:I17"/>
    <mergeCell ref="H15:I15"/>
    <mergeCell ref="H19:I19"/>
    <mergeCell ref="B2:AB2"/>
    <mergeCell ref="J15:K15"/>
    <mergeCell ref="B12:L13"/>
    <mergeCell ref="N12:AB13"/>
    <mergeCell ref="C23:F23"/>
    <mergeCell ref="C29:F29"/>
    <mergeCell ref="BD58:BD60"/>
    <mergeCell ref="BE58:BE60"/>
    <mergeCell ref="BF58:BF60"/>
    <mergeCell ref="BG58:BG60"/>
    <mergeCell ref="AW59:AW68"/>
    <mergeCell ref="AY58:AY60"/>
    <mergeCell ref="AZ58:AZ60"/>
    <mergeCell ref="BA58:BA60"/>
    <mergeCell ref="BB58:BB60"/>
    <mergeCell ref="AW69:AY69"/>
    <mergeCell ref="AY71:BC71"/>
    <mergeCell ref="BD71:BH71"/>
    <mergeCell ref="BE4:BG4"/>
    <mergeCell ref="BA29:BD29"/>
    <mergeCell ref="BE13:BF13"/>
    <mergeCell ref="AX4:AZ4"/>
    <mergeCell ref="AX17:AZ18"/>
    <mergeCell ref="AX29:AZ30"/>
    <mergeCell ref="BC58:BC60"/>
    <mergeCell ref="AX5:AY5"/>
    <mergeCell ref="BA5:BC5"/>
    <mergeCell ref="BE5:BF5"/>
    <mergeCell ref="BE7:BF7"/>
    <mergeCell ref="BA7:BC7"/>
    <mergeCell ref="BA17:BD17"/>
    <mergeCell ref="AK47:AK48"/>
    <mergeCell ref="AO27:AO28"/>
    <mergeCell ref="AL49:AL50"/>
    <mergeCell ref="CA40:CA41"/>
    <mergeCell ref="BY40:BZ41"/>
    <mergeCell ref="BQ83:BY84"/>
    <mergeCell ref="BQ90:BY90"/>
    <mergeCell ref="BY97:CA98"/>
    <mergeCell ref="BT85:BT87"/>
    <mergeCell ref="CA99:CA100"/>
    <mergeCell ref="BQ91:BQ93"/>
    <mergeCell ref="BK83:BK85"/>
    <mergeCell ref="BO86:BO87"/>
    <mergeCell ref="BO80:BO81"/>
    <mergeCell ref="BN77:BN78"/>
    <mergeCell ref="BQ104:BQ105"/>
    <mergeCell ref="BS94:BS95"/>
    <mergeCell ref="BT104:BT105"/>
    <mergeCell ref="BU101:BW105"/>
    <mergeCell ref="BZ78:BZ79"/>
    <mergeCell ref="BY103:BZ104"/>
    <mergeCell ref="BY105:BZ106"/>
    <mergeCell ref="BZ75:CA77"/>
    <mergeCell ref="BR81:BR82"/>
    <mergeCell ref="BS81:BS82"/>
    <mergeCell ref="BR50:BR53"/>
    <mergeCell ref="BS50:BS53"/>
    <mergeCell ref="BL75:BO76"/>
    <mergeCell ref="BM80:BM81"/>
    <mergeCell ref="BN80:BN81"/>
    <mergeCell ref="BO83:BO84"/>
    <mergeCell ref="BT54:BT55"/>
    <mergeCell ref="BQ48:BX49"/>
    <mergeCell ref="BT42:BU45"/>
    <mergeCell ref="BK45:BN45"/>
    <mergeCell ref="BK2:BO2"/>
    <mergeCell ref="BK3:BO3"/>
    <mergeCell ref="BK4:BO4"/>
    <mergeCell ref="BK5:BO5"/>
    <mergeCell ref="BL10:BL12"/>
    <mergeCell ref="BM10:BM12"/>
    <mergeCell ref="BN10:BN12"/>
    <mergeCell ref="BO10:BO12"/>
    <mergeCell ref="BK7:BO8"/>
    <mergeCell ref="BL9:BO9"/>
    <mergeCell ref="BK10:BK13"/>
    <mergeCell ref="BU120:BV121"/>
    <mergeCell ref="BQ77:BY78"/>
    <mergeCell ref="BQ88:BQ89"/>
    <mergeCell ref="BQ81:BQ82"/>
    <mergeCell ref="BU94:BV95"/>
    <mergeCell ref="BT94:BT95"/>
    <mergeCell ref="BW94:BW95"/>
    <mergeCell ref="BX116:BY116"/>
    <mergeCell ref="BX113:BY113"/>
    <mergeCell ref="BX117:BY117"/>
    <mergeCell ref="BK71:BM71"/>
    <mergeCell ref="BL80:BL81"/>
    <mergeCell ref="BT91:BT93"/>
    <mergeCell ref="BY26:CA27"/>
    <mergeCell ref="BX79:BY80"/>
    <mergeCell ref="BR85:BS87"/>
    <mergeCell ref="BQ56:BQ59"/>
    <mergeCell ref="CA46:CA47"/>
    <mergeCell ref="CA80:CA81"/>
    <mergeCell ref="BK43:BN43"/>
    <mergeCell ref="BY42:BZ45"/>
    <mergeCell ref="BK165:BM165"/>
    <mergeCell ref="BO22:BO24"/>
    <mergeCell ref="BK22:BK25"/>
    <mergeCell ref="BK106:BM106"/>
    <mergeCell ref="BK108:BM108"/>
    <mergeCell ref="BK109:BM109"/>
    <mergeCell ref="BQ111:BX111"/>
    <mergeCell ref="BL77:BL78"/>
    <mergeCell ref="BM77:BM78"/>
    <mergeCell ref="BK130:BK133"/>
    <mergeCell ref="BK134:BK137"/>
    <mergeCell ref="BK110:BM110"/>
    <mergeCell ref="BK86:BK88"/>
    <mergeCell ref="BK80:BK82"/>
    <mergeCell ref="BK162:BM162"/>
    <mergeCell ref="BK164:BM164"/>
    <mergeCell ref="BK160:BM160"/>
    <mergeCell ref="BK154:BN154"/>
    <mergeCell ref="BK148:BN148"/>
    <mergeCell ref="BN138:BN140"/>
    <mergeCell ref="BV153:BW154"/>
    <mergeCell ref="BU145:BV147"/>
    <mergeCell ref="BW145:BW147"/>
    <mergeCell ref="BT142:BT143"/>
    <mergeCell ref="BU142:BV143"/>
    <mergeCell ref="BR148:BR149"/>
    <mergeCell ref="BS148:BS149"/>
    <mergeCell ref="BT148:BT149"/>
    <mergeCell ref="BT24:BT27"/>
    <mergeCell ref="BQ50:BQ53"/>
    <mergeCell ref="BK111:BM111"/>
    <mergeCell ref="BQ40:BQ41"/>
    <mergeCell ref="BK166:BM166"/>
    <mergeCell ref="BS40:BS41"/>
    <mergeCell ref="BK167:BM167"/>
    <mergeCell ref="BW24:BW27"/>
    <mergeCell ref="BW28:BW29"/>
    <mergeCell ref="BU28:BV29"/>
    <mergeCell ref="BS34:BS35"/>
    <mergeCell ref="BU24:BV27"/>
    <mergeCell ref="BT50:BT53"/>
    <mergeCell ref="BU50:BV53"/>
    <mergeCell ref="BQ46:BQ47"/>
    <mergeCell ref="BR46:BR47"/>
    <mergeCell ref="BS46:BS47"/>
    <mergeCell ref="BV42:BW47"/>
    <mergeCell ref="BQ60:BQ61"/>
    <mergeCell ref="BR56:BR59"/>
    <mergeCell ref="BR60:BR61"/>
    <mergeCell ref="BU54:BV55"/>
    <mergeCell ref="BQ54:BQ55"/>
    <mergeCell ref="BR54:BR55"/>
    <mergeCell ref="BT40:BT41"/>
    <mergeCell ref="BU36:BW41"/>
    <mergeCell ref="BK55:BM55"/>
    <mergeCell ref="BK57:BM57"/>
    <mergeCell ref="BK59:BM59"/>
    <mergeCell ref="BK138:BK141"/>
    <mergeCell ref="BK104:BM104"/>
    <mergeCell ref="BK142:BK145"/>
    <mergeCell ref="BU85:BV87"/>
    <mergeCell ref="BT88:BT89"/>
    <mergeCell ref="BK159:BM159"/>
    <mergeCell ref="BL142:BL144"/>
    <mergeCell ref="BM130:BM132"/>
    <mergeCell ref="BK161:BM161"/>
    <mergeCell ref="BR106:BR108"/>
    <mergeCell ref="BQ109:BQ110"/>
    <mergeCell ref="BR109:BR110"/>
    <mergeCell ref="BS109:BS110"/>
    <mergeCell ref="BT109:BT110"/>
    <mergeCell ref="BQ106:BQ108"/>
    <mergeCell ref="BR101:BR103"/>
    <mergeCell ref="BS101:BS103"/>
    <mergeCell ref="BO134:BO136"/>
    <mergeCell ref="BM138:BM140"/>
    <mergeCell ref="BL130:BL132"/>
    <mergeCell ref="BL129:BO129"/>
    <mergeCell ref="BN130:BN132"/>
    <mergeCell ref="BO130:BO132"/>
    <mergeCell ref="BL134:BL136"/>
    <mergeCell ref="BK103:BM103"/>
    <mergeCell ref="BK105:BM105"/>
    <mergeCell ref="BS153:BS154"/>
    <mergeCell ref="BT153:BU154"/>
    <mergeCell ref="BS104:BS105"/>
    <mergeCell ref="BT101:BT103"/>
    <mergeCell ref="BS120:BS121"/>
    <mergeCell ref="BT120:BT121"/>
    <mergeCell ref="BM142:BM144"/>
    <mergeCell ref="BN142:BN144"/>
    <mergeCell ref="BU148:BV149"/>
    <mergeCell ref="BQ144:BY144"/>
    <mergeCell ref="BQ137:BY138"/>
    <mergeCell ref="BQ139:BQ141"/>
    <mergeCell ref="BR139:BS141"/>
    <mergeCell ref="BF114:BH115"/>
    <mergeCell ref="BR42:BR45"/>
    <mergeCell ref="BQ42:BQ45"/>
    <mergeCell ref="BX81:BY82"/>
    <mergeCell ref="BK98:BN98"/>
    <mergeCell ref="BK97:BN97"/>
    <mergeCell ref="BG89:BG90"/>
    <mergeCell ref="BH89:BH90"/>
    <mergeCell ref="BH111:BH112"/>
    <mergeCell ref="BV81:BW82"/>
    <mergeCell ref="BW50:BW53"/>
    <mergeCell ref="BR79:BR80"/>
    <mergeCell ref="BF106:BH108"/>
    <mergeCell ref="BW91:BW93"/>
    <mergeCell ref="BH109:BH110"/>
    <mergeCell ref="BW85:BY89"/>
    <mergeCell ref="BK77:BK79"/>
    <mergeCell ref="BF72:BF74"/>
    <mergeCell ref="BG72:BG74"/>
    <mergeCell ref="BH72:BH74"/>
    <mergeCell ref="BR88:BS89"/>
    <mergeCell ref="BH86:BH88"/>
    <mergeCell ref="BD85:BH85"/>
    <mergeCell ref="BD57:BH57"/>
    <mergeCell ref="BU88:BV89"/>
    <mergeCell ref="BQ85:BQ87"/>
    <mergeCell ref="BQ96:BR100"/>
    <mergeCell ref="BG111:BG112"/>
    <mergeCell ref="BK65:BM65"/>
    <mergeCell ref="BK67:BM67"/>
    <mergeCell ref="BF111:BF112"/>
    <mergeCell ref="BX24:BX47"/>
    <mergeCell ref="BQ4:BY5"/>
    <mergeCell ref="BK75:BK76"/>
    <mergeCell ref="BY32:BZ33"/>
    <mergeCell ref="BK33:BN33"/>
    <mergeCell ref="AY106:AY108"/>
    <mergeCell ref="AZ106:AZ108"/>
    <mergeCell ref="BA106:BA108"/>
    <mergeCell ref="BB106:BB108"/>
    <mergeCell ref="BC106:BC108"/>
    <mergeCell ref="BA4:BD4"/>
    <mergeCell ref="BA9:BC9"/>
    <mergeCell ref="BA11:BC11"/>
    <mergeCell ref="BA86:BA88"/>
    <mergeCell ref="BB86:BB88"/>
    <mergeCell ref="AW105:BH105"/>
    <mergeCell ref="BC86:BC88"/>
    <mergeCell ref="BD86:BD88"/>
    <mergeCell ref="BE86:BE88"/>
    <mergeCell ref="BF86:BF88"/>
    <mergeCell ref="BG86:BG88"/>
    <mergeCell ref="BO14:BO16"/>
    <mergeCell ref="BL18:BL20"/>
    <mergeCell ref="BU20:BV21"/>
    <mergeCell ref="BQ22:BX23"/>
    <mergeCell ref="BQ20:BQ21"/>
    <mergeCell ref="BN14:BN16"/>
    <mergeCell ref="BM14:BM16"/>
    <mergeCell ref="AW5:AW8"/>
    <mergeCell ref="AW83:AY83"/>
    <mergeCell ref="AW85:AX85"/>
    <mergeCell ref="AW106:AX110"/>
    <mergeCell ref="AY86:AY88"/>
    <mergeCell ref="BR12:BR13"/>
    <mergeCell ref="BS12:BS13"/>
    <mergeCell ref="BW16:BX21"/>
    <mergeCell ref="BX12:BX13"/>
    <mergeCell ref="BV12:BW13"/>
    <mergeCell ref="BZ10:BZ11"/>
    <mergeCell ref="BQ16:BQ19"/>
    <mergeCell ref="BK31:BN31"/>
    <mergeCell ref="BK35:BN35"/>
    <mergeCell ref="BO18:BO20"/>
    <mergeCell ref="BR20:BS21"/>
    <mergeCell ref="BT20:BT21"/>
    <mergeCell ref="BY8:BY11"/>
    <mergeCell ref="BA21:BC21"/>
    <mergeCell ref="BA23:BC23"/>
    <mergeCell ref="BA31:BC31"/>
    <mergeCell ref="BA33:BC33"/>
    <mergeCell ref="BA35:BC35"/>
    <mergeCell ref="AW14:BG15"/>
    <mergeCell ref="AW25:BG27"/>
    <mergeCell ref="AW29:AW35"/>
    <mergeCell ref="BQ8:BQ11"/>
    <mergeCell ref="BK14:BK17"/>
    <mergeCell ref="BK18:BK21"/>
    <mergeCell ref="BL14:BL16"/>
    <mergeCell ref="AX9:AY9"/>
    <mergeCell ref="BQ28:BQ29"/>
    <mergeCell ref="BR28:BR29"/>
    <mergeCell ref="BS30:BS33"/>
    <mergeCell ref="BT30:BU33"/>
    <mergeCell ref="AW9:AW13"/>
    <mergeCell ref="BE17:BG17"/>
    <mergeCell ref="AJ27:AJ28"/>
    <mergeCell ref="AK29:AK30"/>
    <mergeCell ref="AG27:AG28"/>
    <mergeCell ref="AH27:AH28"/>
    <mergeCell ref="AI27:AI28"/>
    <mergeCell ref="AF57:AF58"/>
    <mergeCell ref="AG57:AG58"/>
    <mergeCell ref="CA7:CA9"/>
    <mergeCell ref="BR8:BR11"/>
    <mergeCell ref="BY12:BY13"/>
    <mergeCell ref="BY15:BY25"/>
    <mergeCell ref="BS24:BS27"/>
    <mergeCell ref="BS8:BS11"/>
    <mergeCell ref="BT8:BU11"/>
    <mergeCell ref="BR16:BS19"/>
    <mergeCell ref="BT16:BT19"/>
    <mergeCell ref="BU16:BV19"/>
    <mergeCell ref="BT12:BU13"/>
    <mergeCell ref="BY34:CA35"/>
    <mergeCell ref="BV8:BW11"/>
    <mergeCell ref="BZ12:CA25"/>
    <mergeCell ref="BT36:BT39"/>
    <mergeCell ref="CA10:CA11"/>
    <mergeCell ref="BK39:BN39"/>
    <mergeCell ref="BX8:BX11"/>
    <mergeCell ref="BQ12:BQ13"/>
    <mergeCell ref="BS28:BS29"/>
    <mergeCell ref="BT28:BT29"/>
    <mergeCell ref="BA13:BC13"/>
    <mergeCell ref="BM18:BM20"/>
    <mergeCell ref="BN18:BN20"/>
    <mergeCell ref="AX13:AY13"/>
    <mergeCell ref="AW73:AW82"/>
    <mergeCell ref="AR61:AR62"/>
    <mergeCell ref="AR63:AR64"/>
    <mergeCell ref="AQ55:AQ56"/>
    <mergeCell ref="AP57:AP58"/>
    <mergeCell ref="AO67:AO68"/>
    <mergeCell ref="V92:X92"/>
    <mergeCell ref="AK75:AK76"/>
    <mergeCell ref="AL67:AL68"/>
    <mergeCell ref="AM67:AM68"/>
    <mergeCell ref="AN67:AN68"/>
    <mergeCell ref="AS63:AS64"/>
    <mergeCell ref="AS65:AS66"/>
    <mergeCell ref="AS67:AS68"/>
    <mergeCell ref="AL75:AL76"/>
    <mergeCell ref="AM75:AM76"/>
    <mergeCell ref="AN75:AN76"/>
    <mergeCell ref="AO75:AO76"/>
    <mergeCell ref="AP75:AP76"/>
    <mergeCell ref="AQ75:AQ76"/>
    <mergeCell ref="AD69:AD70"/>
    <mergeCell ref="AK69:AK70"/>
    <mergeCell ref="AL69:AL70"/>
    <mergeCell ref="AM69:AM70"/>
    <mergeCell ref="AN69:AN70"/>
    <mergeCell ref="AJ67:AJ68"/>
    <mergeCell ref="AK67:AK68"/>
    <mergeCell ref="AL57:AL58"/>
    <mergeCell ref="AM57:AM58"/>
    <mergeCell ref="AO61:AO62"/>
    <mergeCell ref="AH61:AH62"/>
    <mergeCell ref="AI61:AI62"/>
    <mergeCell ref="V93:X93"/>
    <mergeCell ref="R59:U59"/>
    <mergeCell ref="R61:U61"/>
    <mergeCell ref="V35:X35"/>
    <mergeCell ref="R71:U71"/>
    <mergeCell ref="V71:X71"/>
    <mergeCell ref="R73:U73"/>
    <mergeCell ref="V73:X73"/>
    <mergeCell ref="R41:AB41"/>
    <mergeCell ref="Q112:R112"/>
    <mergeCell ref="R35:U35"/>
    <mergeCell ref="R37:U37"/>
    <mergeCell ref="R31:S31"/>
    <mergeCell ref="R33:S33"/>
    <mergeCell ref="R43:S43"/>
    <mergeCell ref="R45:S45"/>
    <mergeCell ref="R47:U47"/>
    <mergeCell ref="R49:U49"/>
    <mergeCell ref="V77:X77"/>
    <mergeCell ref="V79:X79"/>
    <mergeCell ref="V81:X81"/>
    <mergeCell ref="V82:X82"/>
    <mergeCell ref="V83:X83"/>
    <mergeCell ref="V88:X88"/>
    <mergeCell ref="V90:X90"/>
    <mergeCell ref="V91:X91"/>
    <mergeCell ref="O41:Q41"/>
    <mergeCell ref="BX1:BY1"/>
    <mergeCell ref="BX2:BY2"/>
    <mergeCell ref="AW95:AX95"/>
    <mergeCell ref="AY95:BC95"/>
    <mergeCell ref="BD95:BH95"/>
    <mergeCell ref="N85:AB86"/>
    <mergeCell ref="O65:S65"/>
    <mergeCell ref="R67:S67"/>
    <mergeCell ref="R69:AB69"/>
    <mergeCell ref="AG19:AG20"/>
    <mergeCell ref="AH19:AH20"/>
    <mergeCell ref="AI19:AI20"/>
    <mergeCell ref="AJ19:AJ20"/>
    <mergeCell ref="AK19:AK20"/>
    <mergeCell ref="AO25:AO26"/>
    <mergeCell ref="AP25:AP26"/>
    <mergeCell ref="AL19:AL20"/>
    <mergeCell ref="AM19:AM20"/>
    <mergeCell ref="AM31:AM32"/>
    <mergeCell ref="AO31:AO32"/>
    <mergeCell ref="AN71:AN72"/>
    <mergeCell ref="AE49:AE50"/>
    <mergeCell ref="AF49:AF50"/>
    <mergeCell ref="AG49:AG50"/>
    <mergeCell ref="AE43:AE44"/>
    <mergeCell ref="AF43:AF44"/>
    <mergeCell ref="AE39:AE40"/>
    <mergeCell ref="AF39:AF40"/>
    <mergeCell ref="AG39:AG40"/>
    <mergeCell ref="AH39:AH40"/>
    <mergeCell ref="AI39:AI40"/>
    <mergeCell ref="C9:Y11"/>
    <mergeCell ref="BC96:BC98"/>
    <mergeCell ref="BD96:BD98"/>
    <mergeCell ref="BE96:BE98"/>
    <mergeCell ref="BF96:BF98"/>
    <mergeCell ref="BG96:BG98"/>
    <mergeCell ref="BH96:BH98"/>
    <mergeCell ref="AW97:AW103"/>
    <mergeCell ref="AX99:AX100"/>
    <mergeCell ref="AY99:AY100"/>
    <mergeCell ref="AZ99:AZ100"/>
    <mergeCell ref="BA99:BA100"/>
    <mergeCell ref="BB99:BB100"/>
    <mergeCell ref="BC99:BC100"/>
    <mergeCell ref="BD99:BD100"/>
    <mergeCell ref="BE99:BE100"/>
    <mergeCell ref="BF99:BF100"/>
    <mergeCell ref="BG99:BG100"/>
    <mergeCell ref="BH99:BH100"/>
    <mergeCell ref="AS77:AS78"/>
    <mergeCell ref="AS79:AS80"/>
    <mergeCell ref="AD77:AD78"/>
    <mergeCell ref="AD79:AD80"/>
    <mergeCell ref="AE77:AE78"/>
    <mergeCell ref="AE79:AE80"/>
    <mergeCell ref="AF77:AF78"/>
    <mergeCell ref="AG77:AG78"/>
    <mergeCell ref="AH77:AH78"/>
    <mergeCell ref="AI77:AI78"/>
    <mergeCell ref="AJ77:AJ78"/>
    <mergeCell ref="AK77:AK78"/>
    <mergeCell ref="AL77:AL78"/>
    <mergeCell ref="AM77:AM78"/>
    <mergeCell ref="AN77:AN78"/>
    <mergeCell ref="AO77:AO78"/>
    <mergeCell ref="AP77:AP78"/>
    <mergeCell ref="AQ77:AQ78"/>
    <mergeCell ref="AR77:AR78"/>
    <mergeCell ref="AF79:AF80"/>
    <mergeCell ref="AG79:AG80"/>
    <mergeCell ref="AH79:AH80"/>
    <mergeCell ref="AI79:AI80"/>
    <mergeCell ref="AJ79:AJ80"/>
    <mergeCell ref="AK79:AK80"/>
    <mergeCell ref="AL79:AL80"/>
    <mergeCell ref="AM79:AM80"/>
    <mergeCell ref="AN79:AN80"/>
    <mergeCell ref="AO79:AO80"/>
    <mergeCell ref="AP79:AP80"/>
    <mergeCell ref="AQ79:AQ80"/>
    <mergeCell ref="AR79:AR80"/>
  </mergeCells>
  <conditionalFormatting sqref="H47:I47">
    <cfRule type="expression" dxfId="20" priority="24">
      <formula>($H$47&lt;$H$49)</formula>
    </cfRule>
  </conditionalFormatting>
  <conditionalFormatting sqref="O41 O43:AA51">
    <cfRule type="expression" dxfId="19" priority="609">
      <formula>$H$37&gt;1</formula>
    </cfRule>
  </conditionalFormatting>
  <conditionalFormatting sqref="O51:AA51">
    <cfRule type="expression" dxfId="18" priority="618">
      <formula>$H$37&gt;1</formula>
    </cfRule>
  </conditionalFormatting>
  <conditionalFormatting sqref="O63:AA63">
    <cfRule type="expression" dxfId="17" priority="619">
      <formula>$H$37&gt;2</formula>
    </cfRule>
  </conditionalFormatting>
  <conditionalFormatting sqref="H41:I41">
    <cfRule type="expression" dxfId="16" priority="624">
      <formula>OR(AND(H23="Width",$H$41&gt;$H$43),AND(H23="Length",H41&lt;H43))</formula>
    </cfRule>
  </conditionalFormatting>
  <conditionalFormatting sqref="R93:AA93">
    <cfRule type="expression" dxfId="15" priority="634">
      <formula>$H$51="yes"</formula>
    </cfRule>
  </conditionalFormatting>
  <conditionalFormatting sqref="R33:Z33">
    <cfRule type="expression" dxfId="14" priority="635">
      <formula>$U$33&gt;0</formula>
    </cfRule>
  </conditionalFormatting>
  <conditionalFormatting sqref="T45:Z45 AA49">
    <cfRule type="expression" dxfId="13" priority="641">
      <formula>$U$45&gt;0</formula>
    </cfRule>
  </conditionalFormatting>
  <conditionalFormatting sqref="V47:W47 Y47:Z47 T45:Z45 S50:Z50 AA49:AA50">
    <cfRule type="expression" dxfId="12" priority="665">
      <formula>AND($H$37&gt;1,$U$45&gt;0)</formula>
    </cfRule>
  </conditionalFormatting>
  <conditionalFormatting sqref="W77">
    <cfRule type="expression" dxfId="11" priority="723">
      <formula>AND(J23=2,$V$77&gt;$H$25)</formula>
    </cfRule>
  </conditionalFormatting>
  <conditionalFormatting sqref="W79:W81">
    <cfRule type="expression" dxfId="10" priority="753">
      <formula>AND(J23=1,$V$79&gt;$H$25)</formula>
    </cfRule>
  </conditionalFormatting>
  <conditionalFormatting sqref="O75:AA75">
    <cfRule type="expression" dxfId="9" priority="5">
      <formula>$H$37&gt;3</formula>
    </cfRule>
  </conditionalFormatting>
  <conditionalFormatting sqref="O65:S65 Y74:AA74 R73:X74 O71:AA71 O74:Q74 AB73:AB75 O67:AB70">
    <cfRule type="expression" dxfId="8" priority="3">
      <formula>$H$37&gt;3</formula>
    </cfRule>
  </conditionalFormatting>
  <conditionalFormatting sqref="O53:AB63">
    <cfRule type="expression" dxfId="7" priority="612">
      <formula>$H$37&gt;2</formula>
    </cfRule>
  </conditionalFormatting>
  <conditionalFormatting sqref="H45:I45">
    <cfRule type="expression" dxfId="6" priority="915">
      <formula>$H$45&lt;$AY$130</formula>
    </cfRule>
  </conditionalFormatting>
  <conditionalFormatting sqref="H29:I29">
    <cfRule type="expression" dxfId="5" priority="916">
      <formula>$H$29&lt;$AY$119</formula>
    </cfRule>
  </conditionalFormatting>
  <conditionalFormatting sqref="H27">
    <cfRule type="expression" dxfId="4" priority="917">
      <formula>OR($H$27&lt;$AY$123,$H$27&gt;$AY$124)</formula>
    </cfRule>
  </conditionalFormatting>
  <conditionalFormatting sqref="H31">
    <cfRule type="expression" dxfId="3" priority="918">
      <formula>OR($H$31&lt;$AY$126,$H$31&gt;$AY$128)</formula>
    </cfRule>
  </conditionalFormatting>
  <conditionalFormatting sqref="H39:I39">
    <cfRule type="expression" dxfId="2" priority="919">
      <formula>$H$39&lt;$BA$129</formula>
    </cfRule>
  </conditionalFormatting>
  <conditionalFormatting sqref="AB111 S109 AB109">
    <cfRule type="expression" dxfId="1" priority="972">
      <formula>$J$108&gt;2</formula>
    </cfRule>
  </conditionalFormatting>
  <conditionalFormatting sqref="W82">
    <cfRule type="expression" dxfId="0" priority="973">
      <formula>AND(J29=1,$V$79&gt;$H$25)</formula>
    </cfRule>
  </conditionalFormatting>
  <dataValidations count="5">
    <dataValidation type="list" allowBlank="1" showInputMessage="1" showErrorMessage="1" sqref="H57" xr:uid="{00000000-0002-0000-0000-000000000000}">
      <formula1>NY</formula1>
    </dataValidation>
    <dataValidation type="list" allowBlank="1" showInputMessage="1" showErrorMessage="1" sqref="J46:K46 H15:I15" xr:uid="{00000000-0002-0000-0000-000001000000}">
      <formula1>UnitSystem</formula1>
    </dataValidation>
    <dataValidation type="list" allowBlank="1" showInputMessage="1" showErrorMessage="1" sqref="H23:I23" xr:uid="{00000000-0002-0000-0000-000002000000}">
      <formula1>Constraint</formula1>
    </dataValidation>
    <dataValidation type="list" allowBlank="1" showInputMessage="1" showErrorMessage="1" sqref="H51" xr:uid="{00000000-0002-0000-0000-000003000000}">
      <formula1>YN</formula1>
    </dataValidation>
    <dataValidation type="list" allowBlank="1" showInputMessage="1" showErrorMessage="1" sqref="H19:I19" xr:uid="{00000000-0002-0000-0000-000004000000}">
      <formula1>AllSC</formula1>
    </dataValidation>
  </dataValidations>
  <pageMargins left="0.7" right="0.7" top="0.75" bottom="0.75" header="0.3" footer="0.3"/>
  <pageSetup scale="53" orientation="landscape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6"/>
  <sheetViews>
    <sheetView workbookViewId="0">
      <selection activeCell="B8" sqref="B8"/>
    </sheetView>
  </sheetViews>
  <sheetFormatPr defaultRowHeight="15" x14ac:dyDescent="0.25"/>
  <cols>
    <col min="1" max="1" width="13.28515625" customWidth="1"/>
    <col min="2" max="2" width="11" customWidth="1"/>
  </cols>
  <sheetData>
    <row r="1" spans="1:12" x14ac:dyDescent="0.25">
      <c r="A1" s="1" t="s">
        <v>103</v>
      </c>
    </row>
    <row r="2" spans="1:12" x14ac:dyDescent="0.25">
      <c r="A2" s="1" t="s">
        <v>6</v>
      </c>
    </row>
    <row r="4" spans="1:12" x14ac:dyDescent="0.25">
      <c r="A4" s="1" t="s">
        <v>4</v>
      </c>
      <c r="B4" s="1" t="s">
        <v>4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1" t="s">
        <v>208</v>
      </c>
      <c r="B5" s="1" t="s">
        <v>7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25">
      <c r="A6" s="1" t="s">
        <v>7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s="1" customFormat="1" x14ac:dyDescent="0.25">
      <c r="A7" s="1" t="s">
        <v>210</v>
      </c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25"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25">
      <c r="A9" s="1" t="s">
        <v>100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5">
      <c r="A10" s="1" t="s">
        <v>101</v>
      </c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5"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5">
      <c r="A12" s="1" t="s">
        <v>100</v>
      </c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1" t="s">
        <v>101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5" spans="1:12" x14ac:dyDescent="0.25">
      <c r="A15" s="1" t="s">
        <v>59</v>
      </c>
    </row>
    <row r="16" spans="1:12" x14ac:dyDescent="0.25">
      <c r="A16" s="1" t="s">
        <v>60</v>
      </c>
    </row>
  </sheetData>
  <customSheetViews>
    <customSheetView guid="{E7B63CCF-7FBC-401C-9C4B-EF755A7DC399}">
      <selection activeCell="B8" sqref="B8"/>
      <pageMargins left="0.7" right="0.7" top="0.75" bottom="0.75" header="0.3" footer="0.3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B02ACBEBCA3641A3FAD80C76F162C1" ma:contentTypeVersion="13" ma:contentTypeDescription="Create a new document." ma:contentTypeScope="" ma:versionID="130a9926dd65eed4fc145736e5925cea">
  <xsd:schema xmlns:xsd="http://www.w3.org/2001/XMLSchema" xmlns:xs="http://www.w3.org/2001/XMLSchema" xmlns:p="http://schemas.microsoft.com/office/2006/metadata/properties" xmlns:ns3="00003f10-eb20-41b6-a902-a9c91f338d26" xmlns:ns4="c1ccc120-7e25-4e8f-91f0-87eafa73fbc7" targetNamespace="http://schemas.microsoft.com/office/2006/metadata/properties" ma:root="true" ma:fieldsID="5498cb1d1209fe82977090832f6caf44" ns3:_="" ns4:_="">
    <xsd:import namespace="00003f10-eb20-41b6-a902-a9c91f338d26"/>
    <xsd:import namespace="c1ccc120-7e25-4e8f-91f0-87eafa73fbc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003f10-eb20-41b6-a902-a9c91f338d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ccc120-7e25-4e8f-91f0-87eafa73fbc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C2D2A3-8497-41C3-9C61-9166E8DF15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90CDFE9-07AD-47F1-90B8-7606ADD9B0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003f10-eb20-41b6-a902-a9c91f338d26"/>
    <ds:schemaRef ds:uri="c1ccc120-7e25-4e8f-91f0-87eafa73fb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3F69B1-E367-4542-AF92-42D4507C5414}">
  <ds:schemaRefs>
    <ds:schemaRef ds:uri="00003f10-eb20-41b6-a902-a9c91f338d26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c1ccc120-7e25-4e8f-91f0-87eafa73fbc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StormChamber System Calculator</vt:lpstr>
      <vt:lpstr>AllChambers</vt:lpstr>
      <vt:lpstr>AllSC</vt:lpstr>
      <vt:lpstr>Chambers</vt:lpstr>
      <vt:lpstr>Constraint</vt:lpstr>
      <vt:lpstr>NY</vt:lpstr>
      <vt:lpstr>SCalt</vt:lpstr>
      <vt:lpstr>UnitSystem</vt:lpstr>
      <vt:lpstr>YN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Lehner</dc:creator>
  <cp:lastModifiedBy>Haq, Ihteshaam</cp:lastModifiedBy>
  <cp:lastPrinted>2018-08-09T16:35:24Z</cp:lastPrinted>
  <dcterms:created xsi:type="dcterms:W3CDTF">2016-09-01T19:17:15Z</dcterms:created>
  <dcterms:modified xsi:type="dcterms:W3CDTF">2021-10-29T21:31:09Z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0x01010022B02ACBEBCA3641A3FAD80C76F162C1</vt:lpwstr>
  </property>
</Properties>
</file>